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A55CD686-DFCC-42C2-9E79-3DA3DC4301E2}" xr6:coauthVersionLast="46" xr6:coauthVersionMax="47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4" l="1"/>
  <c r="B38" i="4"/>
  <c r="B39" i="4"/>
  <c r="B36" i="4" l="1"/>
  <c r="B40" i="4"/>
  <c r="B41" i="4"/>
  <c r="B35" i="4"/>
  <c r="B25" i="3"/>
  <c r="G200" i="1"/>
  <c r="C92" i="1"/>
  <c r="C93" i="1"/>
  <c r="C94" i="1"/>
  <c r="C91" i="1"/>
  <c r="B92" i="1"/>
  <c r="B93" i="1"/>
  <c r="B94" i="1"/>
  <c r="B91" i="1"/>
  <c r="F91" i="1" s="1"/>
  <c r="H83" i="1"/>
  <c r="E83" i="1" s="1"/>
  <c r="H84" i="1"/>
  <c r="E84" i="1" s="1"/>
  <c r="H85" i="1"/>
  <c r="E85" i="1" s="1"/>
  <c r="H86" i="1"/>
  <c r="E86" i="1" s="1"/>
  <c r="H87" i="1"/>
  <c r="E87" i="1" s="1"/>
  <c r="E73" i="1"/>
  <c r="G73" i="1"/>
  <c r="E74" i="1"/>
  <c r="G74" i="1"/>
  <c r="E75" i="1"/>
  <c r="F75" i="1"/>
  <c r="E76" i="1"/>
  <c r="F76" i="1"/>
  <c r="E77" i="1"/>
  <c r="F77" i="1"/>
  <c r="E78" i="1"/>
  <c r="G78" i="1"/>
  <c r="E79" i="1"/>
  <c r="F79" i="1"/>
  <c r="C84" i="1"/>
  <c r="C85" i="1"/>
  <c r="C86" i="1"/>
  <c r="C87" i="1"/>
  <c r="C83" i="1"/>
  <c r="B83" i="1"/>
  <c r="F73" i="1"/>
  <c r="F78" i="1"/>
  <c r="G77" i="1"/>
  <c r="G76" i="1"/>
  <c r="F74" i="1"/>
  <c r="G79" i="1"/>
  <c r="G75" i="1"/>
  <c r="B87" i="1"/>
  <c r="E92" i="1"/>
  <c r="E93" i="1"/>
  <c r="E94" i="1"/>
  <c r="E91" i="1"/>
  <c r="E95" i="1" s="1"/>
  <c r="B84" i="1"/>
  <c r="B85" i="1"/>
  <c r="B86" i="1"/>
  <c r="G84" i="1"/>
  <c r="F84" i="1"/>
  <c r="F85" i="1"/>
  <c r="G86" i="1"/>
  <c r="G87" i="1"/>
  <c r="F83" i="1"/>
  <c r="K7" i="4"/>
  <c r="B33" i="1" s="1"/>
  <c r="B35" i="1" s="1"/>
  <c r="L7" i="4"/>
  <c r="M7" i="4"/>
  <c r="D33" i="1" s="1"/>
  <c r="D35" i="1" s="1"/>
  <c r="N7" i="4"/>
  <c r="E33" i="1" s="1"/>
  <c r="E35" i="1" s="1"/>
  <c r="O7" i="4"/>
  <c r="F33" i="1" s="1"/>
  <c r="F35" i="1" s="1"/>
  <c r="P7" i="4"/>
  <c r="D7" i="4"/>
  <c r="B32" i="1" s="1"/>
  <c r="B34" i="1" s="1"/>
  <c r="E7" i="4"/>
  <c r="C32" i="1" s="1"/>
  <c r="C34" i="1" s="1"/>
  <c r="F7" i="4"/>
  <c r="D32" i="1" s="1"/>
  <c r="D34" i="1" s="1"/>
  <c r="G7" i="4"/>
  <c r="H7" i="4"/>
  <c r="F32" i="1" s="1"/>
  <c r="F34" i="1" s="1"/>
  <c r="I7" i="4"/>
  <c r="G32" i="1" s="1"/>
  <c r="G34" i="1" s="1"/>
  <c r="C7" i="4"/>
  <c r="B9" i="1" s="1"/>
  <c r="G85" i="1"/>
  <c r="F87" i="1"/>
  <c r="F86" i="1"/>
  <c r="G83" i="1"/>
  <c r="C88" i="3"/>
  <c r="C171" i="1"/>
  <c r="C172" i="1"/>
  <c r="C173" i="1"/>
  <c r="C170" i="1"/>
  <c r="C152" i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/>
  <c r="F93" i="1"/>
  <c r="F94" i="1"/>
  <c r="E72" i="1"/>
  <c r="G72" i="1"/>
  <c r="E80" i="1"/>
  <c r="G80" i="1"/>
  <c r="E81" i="1"/>
  <c r="G81" i="1"/>
  <c r="E82" i="1"/>
  <c r="F82" i="1"/>
  <c r="E71" i="1"/>
  <c r="F71" i="1"/>
  <c r="P24" i="2" s="1"/>
  <c r="Q24" i="2" s="1"/>
  <c r="G55" i="1"/>
  <c r="F55" i="1"/>
  <c r="E55" i="1"/>
  <c r="D55" i="1"/>
  <c r="C55" i="1"/>
  <c r="B55" i="1"/>
  <c r="B31" i="1"/>
  <c r="E24" i="1"/>
  <c r="C24" i="1"/>
  <c r="B24" i="1"/>
  <c r="F81" i="1"/>
  <c r="G82" i="1"/>
  <c r="F80" i="1"/>
  <c r="F72" i="1"/>
  <c r="G71" i="1"/>
  <c r="F152" i="1"/>
  <c r="F103" i="1"/>
  <c r="F102" i="1"/>
  <c r="F101" i="1"/>
  <c r="F100" i="1"/>
  <c r="G33" i="1"/>
  <c r="G35" i="1" s="1"/>
  <c r="C33" i="1"/>
  <c r="C35" i="1" s="1"/>
  <c r="E32" i="1"/>
  <c r="E34" i="1" s="1"/>
  <c r="E41" i="2"/>
  <c r="G152" i="1"/>
  <c r="D1" i="5"/>
  <c r="K136" i="1"/>
  <c r="K135" i="1"/>
  <c r="K134" i="1"/>
  <c r="F154" i="1"/>
  <c r="F153" i="1"/>
  <c r="F151" i="1"/>
  <c r="F155" i="1"/>
  <c r="F156" i="1"/>
  <c r="D60" i="1"/>
  <c r="O53" i="1"/>
  <c r="G56" i="1" s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G31" i="1"/>
  <c r="F31" i="1"/>
  <c r="E31" i="1"/>
  <c r="D31" i="1"/>
  <c r="C31" i="1"/>
  <c r="D25" i="3"/>
  <c r="B36" i="3"/>
  <c r="H25" i="3"/>
  <c r="J25" i="3"/>
  <c r="Q12" i="2"/>
  <c r="Q14" i="2" s="1"/>
  <c r="Q16" i="2" s="1"/>
  <c r="Q15" i="2"/>
  <c r="N24" i="1"/>
  <c r="N26" i="1"/>
  <c r="N25" i="1"/>
  <c r="N27" i="1"/>
  <c r="N28" i="1"/>
  <c r="N23" i="1"/>
  <c r="M24" i="1"/>
  <c r="M26" i="1"/>
  <c r="M25" i="1"/>
  <c r="M27" i="1"/>
  <c r="M28" i="1"/>
  <c r="M23" i="1"/>
  <c r="H51" i="1" s="1"/>
  <c r="H53" i="1" s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E23" i="1"/>
  <c r="E25" i="1"/>
  <c r="F23" i="1"/>
  <c r="F25" i="1"/>
  <c r="F56" i="1"/>
  <c r="F64" i="1" s="1"/>
  <c r="G23" i="1"/>
  <c r="G25" i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/>
  <c r="E42" i="2"/>
  <c r="G153" i="1"/>
  <c r="E43" i="2"/>
  <c r="G154" i="1"/>
  <c r="E44" i="2"/>
  <c r="G155" i="1"/>
  <c r="E45" i="2"/>
  <c r="G156" i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/>
  <c r="B136" i="1"/>
  <c r="B135" i="1"/>
  <c r="B133" i="1"/>
  <c r="B134" i="1"/>
  <c r="B132" i="1"/>
  <c r="P51" i="1"/>
  <c r="B99" i="3"/>
  <c r="O11" i="3"/>
  <c r="I9" i="1"/>
  <c r="P52" i="1"/>
  <c r="P53" i="1" s="1"/>
  <c r="H52" i="1"/>
  <c r="O27" i="2"/>
  <c r="B64" i="3"/>
  <c r="B65" i="3"/>
  <c r="O9" i="3"/>
  <c r="O25" i="2"/>
  <c r="P25" i="2"/>
  <c r="Q25" i="2" s="1"/>
  <c r="F104" i="1"/>
  <c r="N6" i="2"/>
  <c r="O6" i="2"/>
  <c r="P6" i="2"/>
  <c r="Q6" i="2"/>
  <c r="L136" i="1"/>
  <c r="P26" i="2"/>
  <c r="Q26" i="2"/>
  <c r="C174" i="1"/>
  <c r="F157" i="1"/>
  <c r="H157" i="1"/>
  <c r="F118" i="1"/>
  <c r="P28" i="2"/>
  <c r="Q28" i="2"/>
  <c r="N5" i="2"/>
  <c r="O5" i="2"/>
  <c r="P5" i="2"/>
  <c r="Q5" i="2"/>
  <c r="L135" i="1"/>
  <c r="G157" i="1"/>
  <c r="N4" i="2"/>
  <c r="O4" i="2"/>
  <c r="P4" i="2"/>
  <c r="Q4" i="2"/>
  <c r="L134" i="1"/>
  <c r="N3" i="2"/>
  <c r="O3" i="2"/>
  <c r="P3" i="2"/>
  <c r="Q3" i="2"/>
  <c r="L133" i="1"/>
  <c r="G28" i="3"/>
  <c r="Q13" i="2"/>
  <c r="B35" i="3"/>
  <c r="B37" i="3"/>
  <c r="P8" i="3"/>
  <c r="O12" i="3"/>
  <c r="B11" i="1"/>
  <c r="B66" i="3"/>
  <c r="P9" i="3"/>
  <c r="P12" i="3"/>
  <c r="B5" i="1"/>
  <c r="B8" i="1" s="1"/>
  <c r="G63" i="3"/>
  <c r="P27" i="2"/>
  <c r="Q27" i="2" s="1"/>
  <c r="L137" i="1"/>
  <c r="R16" i="2" l="1"/>
  <c r="S16" i="2"/>
  <c r="B56" i="1"/>
  <c r="B64" i="1" s="1"/>
  <c r="B15" i="1"/>
  <c r="F95" i="1"/>
  <c r="B122" i="1"/>
  <c r="B123" i="1" s="1"/>
  <c r="E96" i="1"/>
  <c r="G88" i="1"/>
  <c r="C56" i="1"/>
  <c r="C64" i="1" s="1"/>
  <c r="I64" i="1"/>
  <c r="B127" i="1"/>
  <c r="D127" i="1" s="1"/>
  <c r="G64" i="1"/>
  <c r="D56" i="1"/>
  <c r="D64" i="1" s="1"/>
  <c r="E56" i="1"/>
  <c r="E64" i="1" s="1"/>
  <c r="H56" i="1"/>
  <c r="H64" i="1" s="1"/>
  <c r="Q18" i="2" l="1"/>
  <c r="Q17" i="2"/>
  <c r="H142" i="1" s="1"/>
  <c r="F119" i="1"/>
  <c r="E122" i="1" s="1"/>
  <c r="G202" i="1" s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<sst xmlns="http://schemas.openxmlformats.org/spreadsheetml/2006/main" count="611" uniqueCount="278">
  <si>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</si>
  <si>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</si>
  <si>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</si>
  <si>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</si>
  <si>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</si>
  <si>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</si>
  <si>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</si>
  <si>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</si>
  <si>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</si>
  <si>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</si>
  <si>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</si>
  <si>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</si>
  <si>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</si>
  <si>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</si>
  <si>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</si>
  <si>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</si>
  <si>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</si>
  <si>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</si>
  <si>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</si>
  <si>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</si>
  <si>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</si>
  <si>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</si>
  <si>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</si>
  <si>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</si>
  <si>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</si>
  <si>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</si>
  <si>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</si>
  <si>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</si>
  <si>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</si>
  <si>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</si>
  <si>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</si>
  <si>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</si>
  <si>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</si>
  <si>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</si>
  <si>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</si>
  <si>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</si>
  <si>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</si>
  <si>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</si>
  <si>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</si>
  <si>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</si>
  <si>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</si>
  <si>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</si>
  <si>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</si>
  <si>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</si>
  <si>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</si>
  <si>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</si>
  <si>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</si>
  <si>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</si>
  <si>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</si>
  <si>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</si>
  <si>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</si>
  <si>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</si>
  <si>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</si>
  <si>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</si>
  <si>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</si>
  <si>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</si>
  <si>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</si>
  <si>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</si>
  <si>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</si>
  <si>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</si>
  <si>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</si>
  <si>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</si>
  <si>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</si>
  <si>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</si>
  <si>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</si>
  <si>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</si>
  <si>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</si>
  <si>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</si>
  <si>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</si>
  <si>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</si>
  <si>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</si>
  <si>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</si>
  <si>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</si>
  <si>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</si>
  <si>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</si>
  <si>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</si>
  <si>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</si>
  <si>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</si>
  <si>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</si>
  <si>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</si>
  <si>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</si>
  <si>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</si>
  <si>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</si>
  <si>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</si>
  <si>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</si>
  <si>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</si>
  <si>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</si>
  <si>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</si>
  <si>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</si>
  <si>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</si>
  <si>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</si>
  <si>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</si>
  <si>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</si>
  <si>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</si>
  <si>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</si>
  <si>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</si>
  <si>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</si>
  <si>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</si>
  <si>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</si>
  <si>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</si>
  <si>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</si>
  <si>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</si>
  <si>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</si>
  <si>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</si>
  <si>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</si>
  <si>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</si>
  <si>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</si>
  <si>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</si>
  <si>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</si>
  <si>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</si>
  <si>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</si>
  <si>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</si>
  <si>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</si>
  <si>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</si>
  <si>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</si>
  <si>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</si>
  <si>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</si>
  <si>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</si>
  <si>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</si>
  <si>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</si>
  <si>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</si>
  <si>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</si>
  <si>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</si>
  <si>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</si>
  <si>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</si>
  <si>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</si>
  <si>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</si>
  <si>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</si>
  <si>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</si>
  <si>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</si>
  <si>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</si>
  <si>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</si>
  <si>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</si>
  <si>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</si>
  <si>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</si>
  <si>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</si>
  <si>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</si>
  <si>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</si>
  <si>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</si>
  <si>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</si>
  <si>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</si>
  <si>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</si>
  <si>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</si>
  <si>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</si>
  <si>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</si>
  <si>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</si>
  <si>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</si>
  <si>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</si>
  <si>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</si>
  <si>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</si>
  <si>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</si>
  <si>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</si>
  <si>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</si>
  <si>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</si>
  <si>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</si>
  <si>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</si>
  <si>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</si>
  <si>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</si>
  <si>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</si>
  <si>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</si>
  <si>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</si>
  <si>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</si>
  <si>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</si>
  <si>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</si>
  <si>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</si>
  <si>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</si>
  <si>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</si>
  <si>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</si>
  <si>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</si>
  <si>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</si>
  <si>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</si>
  <si>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</si>
  <si>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</si>
  <si>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</si>
  <si>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</si>
  <si>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</si>
  <si>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</si>
  <si>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</si>
  <si>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</si>
  <si>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</si>
  <si>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</si>
  <si>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</si>
  <si>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</si>
  <si>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</si>
  <si>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</si>
  <si>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</si>
  <si>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</si>
  <si>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</si>
  <si>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</si>
  <si>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</si>
  <si>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</si>
  <si>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</si>
  <si>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</si>
  <si>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</si>
  <si>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</si>
  <si>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</si>
  <si>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</si>
  <si>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</si>
  <si>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</si>
  <si>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</si>
  <si>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</si>
  <si>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</si>
  <si>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</si>
  <si>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</si>
  <si>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</si>
  <si>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</si>
  <si>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</si>
  <si>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</si>
  <si>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</si>
  <si>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</si>
  <si>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</si>
  <si>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</si>
  <si>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</si>
  <si>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</si>
  <si>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</si>
  <si>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</si>
  <si>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</si>
  <si>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</si>
  <si>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</si>
  <si>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</si>
  <si>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</si>
  <si>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</si>
  <si>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</si>
  <si>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</si>
  <si>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</si>
  <si>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</si>
  <si>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</si>
  <si>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</si>
  <si>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</si>
  <si>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</si>
  <si>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</si>
  <si>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</si>
  <si>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</si>
  <si>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</si>
  <si>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</si>
  <si>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</si>
  <si>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</si>
  <si>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</si>
  <si>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</si>
  <si>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</si>
  <si>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</si>
  <si>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</si>
  <si>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</si>
  <si>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</si>
  <si>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</si>
  <si>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</si>
  <si>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</si>
  <si>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</si>
  <si>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</si>
  <si>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</si>
  <si>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</si>
  <si>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</si>
  <si>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</si>
  <si>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</si>
  <si>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</si>
  <si>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</si>
  <si>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</si>
  <si>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</si>
  <si>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</si>
  <si>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</si>
  <si>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</si>
  <si>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</si>
  <si>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</si>
  <si>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(AL) Armas Ligeras C</t>
  </si>
  <si>
    <t>Pusan-Mukden</t>
  </si>
  <si>
    <t xml:space="preserve">Atlantico (via el Ártico): Arkangel </t>
  </si>
  <si>
    <t>FFCC Pusan-Mukden</t>
  </si>
  <si>
    <t>Corea</t>
  </si>
  <si>
    <t>(AM) Ametralladoras C</t>
  </si>
  <si>
    <t>San Petersburgo(2), Sebastopol(2), Arkangel (2), Vladivostok(1)</t>
  </si>
  <si>
    <t>Italia (1900)</t>
  </si>
  <si>
    <t>Portugal (hasta 1904)</t>
  </si>
  <si>
    <t>Brasil (hasta 1904)</t>
  </si>
  <si>
    <t>Vladivostock</t>
  </si>
  <si>
    <t>Irkutsk</t>
  </si>
  <si>
    <t>Ekaterimburgo</t>
  </si>
  <si>
    <t>Omsk</t>
  </si>
  <si>
    <t>Moscú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</si>
</sst>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0" fontId="0" fillId="5" borderId="0" xfId="0" applyFill="1" applyBorder="1" applyAlignment="1">
      <alignment horizontal="center"/>
    </xf>
    <xf numFmtId="6" fontId="0" fillId="5" borderId="0" xfId="0" applyNumberFormat="1" applyFill="1" applyBorder="1"/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46484375" style="85" bestFit="1" customWidth="1"/>
    <col min="4" max="4" width="12.265625" style="85" bestFit="1" customWidth="1"/>
    <col min="5" max="5" width="12" style="85" bestFit="1" customWidth="1"/>
    <col min="6" max="6" width="21.73046875" style="85" customWidth="1"/>
    <col min="7" max="7" width="11.59765625" style="85" customWidth="1"/>
    <col min="8" max="8" width="11.06640625" style="85" customWidth="1"/>
    <col min="9" max="9" width="12.796875" style="85" customWidth="1"/>
    <col min="10" max="10" width="10.3984375" style="85" customWidth="1"/>
    <col min="11" max="11" width="12.1328125" style="85" customWidth="1"/>
    <col min="12" max="15" width="9.1328125" style="85"/>
    <col min="16" max="16" width="10.9296875" style="85" bestFit="1" customWidth="1"/>
    <col min="17" max="16384" width="9.1328125" style="85"/>
  </cols>
  <sheetData>
    <row r="1" spans="1:18" x14ac:dyDescent="0.5">
      <c r="A1" s="193" t="s">
        <v>229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244</v>
      </c>
      <c r="G3" s="87" t="s">
        <v>76</v>
      </c>
      <c r="H3" s="87">
        <v>1899</v>
      </c>
    </row>
    <row r="4" spans="1:18" ht="18" thickBot="1" x14ac:dyDescent="0.55000000000000004">
      <c r="A4" s="87" t="s">
        <v>62</v>
      </c>
      <c r="B4" s="87">
        <v>118.8</v>
      </c>
      <c r="C4" s="88"/>
      <c r="G4" s="87" t="s">
        <v>77</v>
      </c>
      <c r="H4" s="87" t="s">
        <v>245</v>
      </c>
    </row>
    <row r="5" spans="1:18" ht="18" thickBot="1" x14ac:dyDescent="0.55000000000000004">
      <c r="A5" s="87" t="s">
        <v>63</v>
      </c>
      <c r="B5" s="89">
        <f>B4-Militar!P12</f>
        <v>105.77</v>
      </c>
      <c r="D5" s="183"/>
    </row>
    <row r="6" spans="1:18" ht="18" thickBot="1" x14ac:dyDescent="0.55000000000000004">
      <c r="A6" s="87" t="s">
        <v>64</v>
      </c>
      <c r="B6" s="87" t="s">
        <v>67</v>
      </c>
    </row>
    <row r="7" spans="1:18" ht="18" thickBot="1" x14ac:dyDescent="0.55000000000000004">
      <c r="A7" s="190" t="s">
        <v>65</v>
      </c>
      <c r="B7" s="192"/>
      <c r="G7" s="195" t="s">
        <v>78</v>
      </c>
      <c r="H7" s="195"/>
      <c r="I7" s="90">
        <v>4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687.505</v>
      </c>
      <c r="C8" s="92"/>
      <c r="G8" s="195" t="s">
        <v>79</v>
      </c>
      <c r="H8" s="195"/>
      <c r="I8" s="90">
        <f>I7*J13</f>
        <v>1</v>
      </c>
      <c r="Q8" s="180"/>
    </row>
    <row r="9" spans="1:18" ht="18" thickBot="1" x14ac:dyDescent="0.55000000000000004">
      <c r="A9" s="87" t="s">
        <v>73</v>
      </c>
      <c r="B9" s="90">
        <f>Colonias!C7+Ferrocarriles!D1</f>
        <v>60</v>
      </c>
      <c r="C9" s="92"/>
      <c r="H9" s="87" t="s">
        <v>2</v>
      </c>
      <c r="I9" s="90">
        <f>SUM(I7:I8)</f>
        <v>5</v>
      </c>
      <c r="J9" s="93"/>
      <c r="Q9" s="180"/>
    </row>
    <row r="10" spans="1:18" ht="18" thickBot="1" x14ac:dyDescent="0.55000000000000004">
      <c r="A10" s="87" t="s">
        <v>74</v>
      </c>
      <c r="B10" s="90">
        <v>-5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196"/>
    </row>
    <row r="12" spans="1:18" ht="19.5" customHeight="1" thickBot="1" x14ac:dyDescent="0.55000000000000004">
      <c r="A12" s="94"/>
      <c r="B12" s="95"/>
      <c r="C12" s="94"/>
      <c r="D12" s="196"/>
      <c r="G12" s="194"/>
      <c r="H12" s="194"/>
      <c r="I12" s="96"/>
      <c r="J12" s="87" t="s">
        <v>81</v>
      </c>
      <c r="K12" s="196"/>
    </row>
    <row r="13" spans="1:18" ht="18" thickBot="1" x14ac:dyDescent="0.55000000000000004">
      <c r="A13" s="94"/>
      <c r="B13" s="95"/>
      <c r="C13" s="94"/>
      <c r="D13" s="196"/>
      <c r="G13" s="195" t="s">
        <v>80</v>
      </c>
      <c r="H13" s="195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700.505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3" t="s">
        <v>231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7" t="s">
        <v>86</v>
      </c>
      <c r="J20" s="197"/>
      <c r="K20" s="197"/>
      <c r="L20" s="197"/>
      <c r="M20" s="197"/>
      <c r="N20" s="197"/>
    </row>
    <row r="21" spans="1:17" ht="18.399999999999999" thickTop="1" thickBot="1" x14ac:dyDescent="0.55000000000000004">
      <c r="A21" s="87" t="s">
        <v>82</v>
      </c>
      <c r="B21" s="87">
        <v>14</v>
      </c>
      <c r="C21" s="87">
        <v>49</v>
      </c>
      <c r="D21" s="87">
        <v>8</v>
      </c>
      <c r="E21" s="87">
        <v>0</v>
      </c>
      <c r="F21" s="87">
        <v>3</v>
      </c>
      <c r="G21" s="87">
        <v>3</v>
      </c>
      <c r="I21" s="99"/>
      <c r="J21" s="99"/>
      <c r="K21" s="197" t="s">
        <v>89</v>
      </c>
      <c r="L21" s="197"/>
      <c r="M21" s="197" t="s">
        <v>90</v>
      </c>
      <c r="N21" s="19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14</v>
      </c>
      <c r="C23" s="87">
        <f t="shared" ref="C23:G23" si="0">SUM(C21:C22)</f>
        <v>49</v>
      </c>
      <c r="D23" s="87">
        <f t="shared" si="0"/>
        <v>8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16.971428571428572</v>
      </c>
      <c r="C24" s="101">
        <f>ROUNDUP(B4/(VLOOKUP(B6,Econ_chart,3,FALSE)),0)</f>
        <v>44</v>
      </c>
      <c r="D24" s="101">
        <v>0</v>
      </c>
      <c r="E24" s="101">
        <f>ROUNDUP(B4/(VLOOKUP(B6,Econ_chart,4,FALSE)),0)</f>
        <v>14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-16.971428571428572</v>
      </c>
      <c r="C25" s="103">
        <f>C21-C24</f>
        <v>5</v>
      </c>
      <c r="D25" s="104">
        <f>D23</f>
        <v>8</v>
      </c>
      <c r="E25" s="103">
        <f>E23-E24</f>
        <v>-14</v>
      </c>
      <c r="F25" s="104">
        <f>F23</f>
        <v>3</v>
      </c>
      <c r="G25" s="104">
        <f>G23</f>
        <v>3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8" t="s">
        <v>98</v>
      </c>
      <c r="P29" s="198"/>
      <c r="Q29" s="19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0</v>
      </c>
      <c r="E32" s="87">
        <f>SUM(Colonias!G7)</f>
        <v>0</v>
      </c>
      <c r="F32" s="184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1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221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3" t="s">
        <v>230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thickBot="1" x14ac:dyDescent="0.55000000000000004"/>
    <row r="39" spans="1:16" ht="18" thickBot="1" x14ac:dyDescent="0.55000000000000004">
      <c r="B39" s="190" t="s">
        <v>109</v>
      </c>
      <c r="C39" s="191"/>
      <c r="D39" s="192"/>
      <c r="J39" s="190" t="s">
        <v>110</v>
      </c>
      <c r="K39" s="191"/>
      <c r="L39" s="191"/>
      <c r="M39" s="19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271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272</v>
      </c>
      <c r="B42" s="148"/>
      <c r="C42" s="148"/>
      <c r="D42" s="148"/>
      <c r="E42" s="148"/>
      <c r="F42" s="148"/>
      <c r="G42" s="148"/>
      <c r="H42" s="148">
        <v>60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 t="s">
        <v>270</v>
      </c>
      <c r="B43" s="148"/>
      <c r="C43" s="148"/>
      <c r="D43" s="148">
        <v>1</v>
      </c>
      <c r="E43" s="148"/>
      <c r="F43" s="148"/>
      <c r="G43" s="148"/>
      <c r="H43" s="149">
        <v>67</v>
      </c>
      <c r="J43" s="148">
        <v>1</v>
      </c>
      <c r="K43" s="148"/>
      <c r="L43" s="148"/>
      <c r="M43" s="148">
        <v>3</v>
      </c>
      <c r="N43" s="148"/>
      <c r="O43" s="148"/>
      <c r="P43" s="148">
        <v>10</v>
      </c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-139</v>
      </c>
      <c r="I53" s="87" t="s">
        <v>2</v>
      </c>
      <c r="J53" s="108">
        <f t="shared" ref="J53:O53" si="8">SUM(J41:J52)</f>
        <v>1</v>
      </c>
      <c r="K53" s="108">
        <f t="shared" si="8"/>
        <v>0</v>
      </c>
      <c r="L53" s="108">
        <f t="shared" si="8"/>
        <v>0</v>
      </c>
      <c r="M53" s="108">
        <f t="shared" si="8"/>
        <v>9</v>
      </c>
      <c r="N53" s="108">
        <f t="shared" si="8"/>
        <v>0</v>
      </c>
      <c r="O53" s="108">
        <f t="shared" si="8"/>
        <v>0</v>
      </c>
      <c r="P53" s="113">
        <f xml:space="preserve"> SUM(P41:P51)-P52</f>
        <v>10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-15.971428571428572</v>
      </c>
      <c r="C56" s="101">
        <f t="shared" si="9"/>
        <v>5</v>
      </c>
      <c r="D56" s="101">
        <f t="shared" si="9"/>
        <v>7</v>
      </c>
      <c r="E56" s="101">
        <f t="shared" si="9"/>
        <v>-5</v>
      </c>
      <c r="F56" s="101">
        <f t="shared" si="9"/>
        <v>3</v>
      </c>
      <c r="G56" s="101">
        <f t="shared" si="9"/>
        <v>3</v>
      </c>
      <c r="H56" s="116">
        <f>B15+H53+P53</f>
        <v>571.505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-15.971428571428572</v>
      </c>
      <c r="C64" s="101">
        <f>C56</f>
        <v>5</v>
      </c>
      <c r="D64" s="101">
        <f>D56-D60</f>
        <v>7</v>
      </c>
      <c r="E64" s="101">
        <f>E63+E56</f>
        <v>-5</v>
      </c>
      <c r="F64" s="101">
        <f>F56-F61-F62</f>
        <v>3</v>
      </c>
      <c r="G64" s="101">
        <f>G56-G61-G62</f>
        <v>3</v>
      </c>
      <c r="H64" s="116">
        <f>H56-H63</f>
        <v>571.505</v>
      </c>
      <c r="I64" s="87">
        <f>B23-I60-I61-I62-I63</f>
        <v>14</v>
      </c>
    </row>
    <row r="66" spans="1:16" x14ac:dyDescent="0.5">
      <c r="A66" s="193" t="s">
        <v>137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</row>
    <row r="68" spans="1:16" ht="18" thickBot="1" x14ac:dyDescent="0.55000000000000004">
      <c r="A68" s="118" t="s">
        <v>236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10" t="s">
        <v>127</v>
      </c>
      <c r="B69" s="210" t="s">
        <v>117</v>
      </c>
      <c r="C69" s="210" t="s">
        <v>243</v>
      </c>
      <c r="D69" s="210" t="s">
        <v>126</v>
      </c>
      <c r="E69" s="199" t="s">
        <v>119</v>
      </c>
      <c r="F69" s="199" t="s">
        <v>118</v>
      </c>
      <c r="G69" s="203" t="s">
        <v>117</v>
      </c>
      <c r="H69" s="203" t="s">
        <v>121</v>
      </c>
    </row>
    <row r="70" spans="1:16" ht="18" thickBot="1" x14ac:dyDescent="0.55000000000000004">
      <c r="A70" s="211"/>
      <c r="B70" s="211"/>
      <c r="C70" s="211"/>
      <c r="D70" s="211"/>
      <c r="E70" s="200"/>
      <c r="F70" s="200"/>
      <c r="G70" s="204"/>
      <c r="H70" s="204"/>
    </row>
    <row r="71" spans="1:16" ht="18" thickBot="1" x14ac:dyDescent="0.55000000000000004">
      <c r="A71" s="87" t="s">
        <v>135</v>
      </c>
      <c r="B71" s="90">
        <v>80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  <c r="J72" s="185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  <c r="J76" s="185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10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  <c r="J81" s="185"/>
    </row>
    <row r="82" spans="1:10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10" ht="18" thickBot="1" x14ac:dyDescent="0.55000000000000004">
      <c r="A83" s="147"/>
      <c r="B83" s="90" t="str">
        <f>IF(A83="","",VLOOKUP(A83,Colonias!$B$35:$E$41,4,FALSE))</f>
        <v/>
      </c>
      <c r="C83" s="97">
        <f>IF(A83="",0,VLOOKUP(A83,Colonias!$B$35:$F$41,5,FALSE))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IF(A83="","No",VLOOKUP(A83,Colonias!$B$35:$G$41,6,FALSE))</f>
        <v>No</v>
      </c>
      <c r="I83" s="88"/>
    </row>
    <row r="84" spans="1:10" ht="18" thickBot="1" x14ac:dyDescent="0.55000000000000004">
      <c r="A84" s="147"/>
      <c r="B84" s="90" t="str">
        <f>IF(A84="","",VLOOKUP(A84,Colonias!$B$35:$E$41,4,FALSE))</f>
        <v/>
      </c>
      <c r="C84" s="97">
        <f>IF(A84="",0,VLOOKUP(A84,Colonias!$B$35:$F$41,5,FALSE))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IF(A84="","No",VLOOKUP(A84,Colonias!$B$35:$G$41,6,FALSE))</f>
        <v>No</v>
      </c>
      <c r="I84" s="88"/>
    </row>
    <row r="85" spans="1:10" ht="18" thickBot="1" x14ac:dyDescent="0.55000000000000004">
      <c r="A85" s="147"/>
      <c r="B85" s="90" t="str">
        <f>IF(A85="","",VLOOKUP(A85,Colonias!$B$35:$E$41,4,FALSE))</f>
        <v/>
      </c>
      <c r="C85" s="97">
        <f>IF(A85="",0,VLOOKUP(A85,Colonias!$B$35:$F$41,5,FALSE))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IF(A85="","No",VLOOKUP(A85,Colonias!$B$35:$G$41,6,FALSE))</f>
        <v>No</v>
      </c>
      <c r="I85" s="88"/>
    </row>
    <row r="86" spans="1:10" ht="18" thickBot="1" x14ac:dyDescent="0.55000000000000004">
      <c r="A86" s="147"/>
      <c r="B86" s="90" t="str">
        <f>IF(A86="","",VLOOKUP(A86,Colonias!$B$35:$E$41,4,FALSE))</f>
        <v/>
      </c>
      <c r="C86" s="97">
        <f>IF(A86="",0,VLOOKUP(A86,Colonias!$B$35:$F$41,5,FALSE))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IF(A86="","No",VLOOKUP(A86,Colonias!$B$35:$G$41,6,FALSE))</f>
        <v>No</v>
      </c>
      <c r="I86" s="88"/>
    </row>
    <row r="87" spans="1:10" ht="18" thickBot="1" x14ac:dyDescent="0.55000000000000004">
      <c r="A87" s="147"/>
      <c r="B87" s="90" t="str">
        <f>IF(A87="","",VLOOKUP(A87,Colonias!$B$35:$E$41,4,FALSE))</f>
        <v/>
      </c>
      <c r="C87" s="97">
        <f>IF(A87="",0,VLOOKUP(A87,Colonias!$B$35:$F$41,5,FALSE))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IF(A87="","No",VLOOKUP(A87,Colonias!$B$35:$G$41,6,FALSE))</f>
        <v>No</v>
      </c>
      <c r="I87" s="88"/>
    </row>
    <row r="88" spans="1:10" ht="18" thickBot="1" x14ac:dyDescent="0.55000000000000004">
      <c r="B88" s="92"/>
      <c r="F88" s="121" t="s">
        <v>2</v>
      </c>
      <c r="G88" s="122">
        <f>SUM(G71:G87)</f>
        <v>0</v>
      </c>
    </row>
    <row r="89" spans="1:10" ht="18" thickBot="1" x14ac:dyDescent="0.55000000000000004">
      <c r="A89" s="123" t="s">
        <v>237</v>
      </c>
      <c r="B89" s="92"/>
      <c r="F89" s="94"/>
      <c r="G89" s="95"/>
    </row>
    <row r="90" spans="1:10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10" ht="18" thickBot="1" x14ac:dyDescent="0.55000000000000004">
      <c r="A91" s="147"/>
      <c r="B91" s="90" t="str">
        <f>IF(A91="","",VLOOKUP(A91,Ferrocarriles!$G$5:$I$10,2,FALSE))</f>
        <v/>
      </c>
      <c r="C91" s="87" t="str">
        <f>IF(A91="","",VLOOKUP(A91,Ferrocarriles!$G$5:$I$10,3,FALSE))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10" ht="18" thickBot="1" x14ac:dyDescent="0.55000000000000004">
      <c r="A92" s="147"/>
      <c r="B92" s="90" t="str">
        <f>IF(A92="","",VLOOKUP(A92,Ferrocarriles!$G$5:$I$10,2,FALSE))</f>
        <v/>
      </c>
      <c r="C92" s="151" t="str">
        <f>IF(A92="","",VLOOKUP(A92,Ferrocarriles!$G$5:$I$10,3,FALSE))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10" ht="18" thickBot="1" x14ac:dyDescent="0.55000000000000004">
      <c r="A93" s="147"/>
      <c r="B93" s="90" t="str">
        <f>IF(A93="","",VLOOKUP(A93,Ferrocarriles!$G$5:$I$10,2,FALSE))</f>
        <v/>
      </c>
      <c r="C93" s="151" t="str">
        <f>IF(A93="","",VLOOKUP(A93,Ferrocarriles!$G$5:$I$10,3,FALSE))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10" ht="18" thickBot="1" x14ac:dyDescent="0.55000000000000004">
      <c r="A94" s="147"/>
      <c r="B94" s="90" t="str">
        <f>IF(A94="","",VLOOKUP(A94,Ferrocarriles!$G$5:$I$10,2,FALSE))</f>
        <v/>
      </c>
      <c r="C94" s="151" t="str">
        <f>IF(A94="","",VLOOKUP(A94,Ferrocarriles!$G$5:$I$10,3,FALSE))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10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10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238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235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263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268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152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153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154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155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156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157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571.505</v>
      </c>
    </row>
    <row r="121" spans="1:9" ht="18" thickBot="1" x14ac:dyDescent="0.55000000000000004">
      <c r="A121" s="118" t="s">
        <v>239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571.505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5" t="s">
        <v>151</v>
      </c>
      <c r="L131" s="201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6"/>
      <c r="L132" s="202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163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94"/>
      <c r="B141" s="194"/>
      <c r="C141" s="135"/>
      <c r="D141" s="87" t="s">
        <v>158</v>
      </c>
      <c r="E141" s="87" t="s">
        <v>159</v>
      </c>
      <c r="F141" s="87" t="s">
        <v>160</v>
      </c>
      <c r="G141" s="87" t="s">
        <v>161</v>
      </c>
      <c r="H141" s="87" t="s">
        <v>117</v>
      </c>
      <c r="I141" s="87" t="s">
        <v>162</v>
      </c>
    </row>
    <row r="142" spans="1:13" ht="18" thickBot="1" x14ac:dyDescent="0.55000000000000004">
      <c r="A142" s="194"/>
      <c r="B142" s="194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164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5" t="s">
        <v>168</v>
      </c>
      <c r="G149" s="136"/>
    </row>
    <row r="150" spans="1:9" ht="18" thickBot="1" x14ac:dyDescent="0.55000000000000004">
      <c r="A150" s="133" t="s">
        <v>165</v>
      </c>
      <c r="B150" s="134" t="s">
        <v>166</v>
      </c>
      <c r="C150" s="134" t="s">
        <v>123</v>
      </c>
      <c r="D150" s="134" t="s">
        <v>167</v>
      </c>
      <c r="E150" s="134" t="s">
        <v>148</v>
      </c>
      <c r="F150" s="206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5"/>
      <c r="G160" s="136"/>
    </row>
    <row r="161" spans="1:7" ht="18" thickBot="1" x14ac:dyDescent="0.55000000000000004">
      <c r="A161" s="133" t="s">
        <v>175</v>
      </c>
      <c r="B161" s="134" t="s">
        <v>148</v>
      </c>
      <c r="C161" s="134" t="s">
        <v>167</v>
      </c>
      <c r="D161" s="141" t="s">
        <v>176</v>
      </c>
      <c r="E161" s="134"/>
      <c r="F161" s="206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177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179</v>
      </c>
      <c r="B169" s="144" t="s">
        <v>178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180</v>
      </c>
    </row>
    <row r="179" spans="1:14" ht="18" thickBot="1" x14ac:dyDescent="0.55000000000000004">
      <c r="A179" s="190" t="s">
        <v>181</v>
      </c>
      <c r="B179" s="191"/>
      <c r="C179" s="191"/>
      <c r="D179" s="191"/>
      <c r="E179" s="191"/>
      <c r="F179" s="192"/>
      <c r="G179" s="145" t="s">
        <v>182</v>
      </c>
      <c r="N179" s="146"/>
    </row>
    <row r="180" spans="1:14" ht="19.5" customHeight="1" thickBot="1" x14ac:dyDescent="0.55000000000000004">
      <c r="A180" s="207"/>
      <c r="B180" s="208"/>
      <c r="C180" s="208"/>
      <c r="D180" s="208"/>
      <c r="E180" s="208"/>
      <c r="F180" s="209"/>
      <c r="G180" s="160"/>
    </row>
    <row r="181" spans="1:14" ht="18" thickBot="1" x14ac:dyDescent="0.55000000000000004">
      <c r="A181" s="207"/>
      <c r="B181" s="208"/>
      <c r="C181" s="208"/>
      <c r="D181" s="208"/>
      <c r="E181" s="208"/>
      <c r="F181" s="209"/>
      <c r="G181" s="160"/>
    </row>
    <row r="182" spans="1:14" ht="19.5" customHeight="1" thickBot="1" x14ac:dyDescent="0.55000000000000004">
      <c r="A182" s="207"/>
      <c r="B182" s="208"/>
      <c r="C182" s="208"/>
      <c r="D182" s="208"/>
      <c r="E182" s="208"/>
      <c r="F182" s="209"/>
      <c r="G182" s="160"/>
    </row>
    <row r="183" spans="1:14" ht="19.5" customHeight="1" thickBot="1" x14ac:dyDescent="0.55000000000000004">
      <c r="A183" s="207"/>
      <c r="B183" s="208"/>
      <c r="C183" s="208"/>
      <c r="D183" s="208"/>
      <c r="E183" s="208"/>
      <c r="F183" s="209"/>
      <c r="G183" s="160"/>
    </row>
    <row r="184" spans="1:14" ht="19.5" customHeight="1" thickBot="1" x14ac:dyDescent="0.55000000000000004">
      <c r="A184" s="207"/>
      <c r="B184" s="208"/>
      <c r="C184" s="208"/>
      <c r="D184" s="208"/>
      <c r="E184" s="208"/>
      <c r="F184" s="209"/>
      <c r="G184" s="160"/>
    </row>
    <row r="185" spans="1:14" ht="19.5" customHeight="1" thickBot="1" x14ac:dyDescent="0.55000000000000004">
      <c r="A185" s="207"/>
      <c r="B185" s="208"/>
      <c r="C185" s="208"/>
      <c r="D185" s="208"/>
      <c r="E185" s="208"/>
      <c r="F185" s="209"/>
      <c r="G185" s="160"/>
    </row>
    <row r="186" spans="1:14" ht="19.5" customHeight="1" thickBot="1" x14ac:dyDescent="0.55000000000000004">
      <c r="A186" s="207"/>
      <c r="B186" s="208"/>
      <c r="C186" s="208"/>
      <c r="D186" s="208"/>
      <c r="E186" s="208"/>
      <c r="F186" s="209"/>
      <c r="G186" s="160"/>
    </row>
    <row r="187" spans="1:14" ht="19.5" customHeight="1" thickBot="1" x14ac:dyDescent="0.55000000000000004">
      <c r="A187" s="207"/>
      <c r="B187" s="208"/>
      <c r="C187" s="208"/>
      <c r="D187" s="208"/>
      <c r="E187" s="208"/>
      <c r="F187" s="209"/>
      <c r="G187" s="160"/>
    </row>
    <row r="188" spans="1:14" ht="19.5" customHeight="1" thickBot="1" x14ac:dyDescent="0.55000000000000004">
      <c r="A188" s="207"/>
      <c r="B188" s="208"/>
      <c r="C188" s="208"/>
      <c r="D188" s="208"/>
      <c r="E188" s="208"/>
      <c r="F188" s="209"/>
      <c r="G188" s="160"/>
    </row>
    <row r="189" spans="1:14" ht="19.5" customHeight="1" thickBot="1" x14ac:dyDescent="0.55000000000000004">
      <c r="A189" s="207"/>
      <c r="B189" s="208"/>
      <c r="C189" s="208"/>
      <c r="D189" s="208"/>
      <c r="E189" s="208"/>
      <c r="F189" s="209"/>
      <c r="G189" s="160"/>
    </row>
    <row r="190" spans="1:14" ht="18" thickBot="1" x14ac:dyDescent="0.55000000000000004">
      <c r="A190" s="207"/>
      <c r="B190" s="208"/>
      <c r="C190" s="208"/>
      <c r="D190" s="208"/>
      <c r="E190" s="208"/>
      <c r="F190" s="209"/>
      <c r="G190" s="160"/>
    </row>
    <row r="191" spans="1:14" ht="18" thickBot="1" x14ac:dyDescent="0.55000000000000004">
      <c r="A191" s="215"/>
      <c r="B191" s="216"/>
      <c r="C191" s="216"/>
      <c r="D191" s="216"/>
      <c r="E191" s="216"/>
      <c r="F191" s="217"/>
      <c r="G191" s="160"/>
    </row>
    <row r="192" spans="1:14" ht="18" thickBot="1" x14ac:dyDescent="0.55000000000000004">
      <c r="A192" s="207"/>
      <c r="B192" s="208"/>
      <c r="C192" s="208"/>
      <c r="D192" s="208"/>
      <c r="E192" s="208"/>
      <c r="F192" s="209"/>
      <c r="G192" s="163"/>
    </row>
    <row r="193" spans="1:7" ht="18" thickBot="1" x14ac:dyDescent="0.55000000000000004">
      <c r="A193" s="207"/>
      <c r="B193" s="208"/>
      <c r="C193" s="208"/>
      <c r="D193" s="208"/>
      <c r="E193" s="208"/>
      <c r="F193" s="209"/>
      <c r="G193" s="163"/>
    </row>
    <row r="194" spans="1:7" ht="18" thickBot="1" x14ac:dyDescent="0.55000000000000004">
      <c r="A194" s="212"/>
      <c r="B194" s="213"/>
      <c r="C194" s="213"/>
      <c r="D194" s="213"/>
      <c r="E194" s="213"/>
      <c r="F194" s="214"/>
      <c r="G194" s="163"/>
    </row>
    <row r="195" spans="1:7" ht="18" thickBot="1" x14ac:dyDescent="0.55000000000000004">
      <c r="A195" s="207"/>
      <c r="B195" s="208"/>
      <c r="C195" s="208"/>
      <c r="D195" s="208"/>
      <c r="E195" s="208"/>
      <c r="F195" s="209"/>
      <c r="G195" s="160"/>
    </row>
    <row r="196" spans="1:7" ht="18" thickBot="1" x14ac:dyDescent="0.55000000000000004">
      <c r="A196" s="207"/>
      <c r="B196" s="208"/>
      <c r="C196" s="208"/>
      <c r="D196" s="208"/>
      <c r="E196" s="208"/>
      <c r="F196" s="209"/>
      <c r="G196" s="160"/>
    </row>
    <row r="197" spans="1:7" ht="18" thickBot="1" x14ac:dyDescent="0.55000000000000004">
      <c r="A197" s="212"/>
      <c r="B197" s="213"/>
      <c r="C197" s="213"/>
      <c r="D197" s="213"/>
      <c r="E197" s="213"/>
      <c r="F197" s="214"/>
      <c r="G197" s="160"/>
    </row>
    <row r="198" spans="1:7" ht="18" thickBot="1" x14ac:dyDescent="0.55000000000000004">
      <c r="A198" s="207"/>
      <c r="B198" s="213"/>
      <c r="C198" s="213"/>
      <c r="D198" s="213"/>
      <c r="E198" s="213"/>
      <c r="F198" s="214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90" t="s">
        <v>108</v>
      </c>
      <c r="F202" s="192"/>
      <c r="G202" s="116">
        <f>E122-L137-H142-G157-G166-C174-G200</f>
        <v>571.505</v>
      </c>
    </row>
  </sheetData>
  <sheetProtection algorithmName="SHA-512" hashValue="IOUpyraFx0YsZcy8zxnL2dvuWS9WxTyurncIqyiYxRGPPEdzQbDSRWNf/sQ9/JkzBp43ADm6O5b40JwOZzLh7Q==" saltValue="7BJ22w8izqbpsG6lC4DJJg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Colonias!$B$35:$B$41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59765625" style="20" customWidth="1"/>
    <col min="12" max="12" width="10.6640625" style="20" customWidth="1"/>
    <col min="13" max="13" width="12.9296875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1" t="s">
        <v>188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5" spans="1:20" ht="15.75" thickBot="1" x14ac:dyDescent="0.5">
      <c r="A5" s="84" t="s">
        <v>189</v>
      </c>
    </row>
    <row r="6" spans="1:20" ht="15.75" thickBot="1" x14ac:dyDescent="0.5">
      <c r="A6" s="50"/>
      <c r="B6" s="220" t="s">
        <v>158</v>
      </c>
      <c r="C6" s="220" t="s">
        <v>148</v>
      </c>
      <c r="D6" s="220" t="s">
        <v>187</v>
      </c>
      <c r="E6" s="220" t="s">
        <v>148</v>
      </c>
      <c r="F6" s="220" t="s">
        <v>147</v>
      </c>
      <c r="G6" s="220" t="s">
        <v>148</v>
      </c>
      <c r="H6" s="220" t="s">
        <v>149</v>
      </c>
      <c r="I6" s="220" t="s">
        <v>148</v>
      </c>
      <c r="J6" s="220" t="s">
        <v>150</v>
      </c>
      <c r="K6" s="244" t="s">
        <v>148</v>
      </c>
      <c r="N6" s="218" t="s">
        <v>190</v>
      </c>
      <c r="O6" s="218"/>
      <c r="P6" s="218"/>
    </row>
    <row r="7" spans="1:20" ht="15.75" thickBot="1" x14ac:dyDescent="0.5">
      <c r="A7" s="51" t="s">
        <v>179</v>
      </c>
      <c r="B7" s="221"/>
      <c r="C7" s="221"/>
      <c r="D7" s="221"/>
      <c r="E7" s="221"/>
      <c r="F7" s="221"/>
      <c r="G7" s="221"/>
      <c r="H7" s="221"/>
      <c r="I7" s="221"/>
      <c r="J7" s="221"/>
      <c r="K7" s="245"/>
      <c r="N7" s="7"/>
      <c r="O7" s="49" t="s">
        <v>117</v>
      </c>
      <c r="P7" s="49" t="s">
        <v>192</v>
      </c>
    </row>
    <row r="8" spans="1:20" ht="15.75" thickBot="1" x14ac:dyDescent="0.5">
      <c r="A8" s="49" t="s">
        <v>252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191</v>
      </c>
      <c r="O8" s="7"/>
      <c r="P8" s="52">
        <f>B37/1000000</f>
        <v>12.6</v>
      </c>
    </row>
    <row r="9" spans="1:20" ht="15.75" thickBot="1" x14ac:dyDescent="0.5">
      <c r="A9" s="179" t="s">
        <v>252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250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193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194</v>
      </c>
      <c r="B28" s="49" t="s">
        <v>253</v>
      </c>
      <c r="C28" s="45"/>
      <c r="D28" s="168"/>
      <c r="E28" s="166"/>
      <c r="F28" s="167" t="s">
        <v>210</v>
      </c>
      <c r="G28" s="53">
        <f>B25+D25+H25+J25</f>
        <v>80</v>
      </c>
      <c r="I28" s="55" t="s">
        <v>108</v>
      </c>
      <c r="J28" s="59">
        <f>Econ!G202</f>
        <v>571.505</v>
      </c>
    </row>
    <row r="29" spans="1:18" ht="16.149999999999999" thickTop="1" thickBot="1" x14ac:dyDescent="0.5">
      <c r="A29" s="49" t="s">
        <v>195</v>
      </c>
      <c r="B29" s="49" t="s">
        <v>10</v>
      </c>
    </row>
    <row r="30" spans="1:18" ht="15.75" thickBot="1" x14ac:dyDescent="0.5">
      <c r="A30" s="56" t="s">
        <v>196</v>
      </c>
      <c r="B30" s="57" t="s">
        <v>254</v>
      </c>
      <c r="E30" s="218" t="s">
        <v>197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4"/>
      <c r="B31" s="44"/>
      <c r="C31" s="44"/>
      <c r="E31" s="218" t="s">
        <v>61</v>
      </c>
      <c r="F31" s="218"/>
      <c r="G31" s="218"/>
      <c r="H31" s="49" t="s">
        <v>117</v>
      </c>
      <c r="I31" s="218" t="s">
        <v>198</v>
      </c>
      <c r="J31" s="218"/>
      <c r="K31" s="218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162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199</v>
      </c>
      <c r="B35" s="60">
        <f>(B25+H25+J25)*200000</f>
        <v>9200000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200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8" t="s">
        <v>201</v>
      </c>
      <c r="H39" s="218"/>
      <c r="I39" s="218"/>
      <c r="J39" s="21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202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203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204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240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6" t="s">
        <v>179</v>
      </c>
      <c r="B48" s="219" t="s">
        <v>205</v>
      </c>
      <c r="C48" s="219" t="s">
        <v>148</v>
      </c>
      <c r="D48" s="219" t="s">
        <v>206</v>
      </c>
      <c r="E48" s="219" t="s">
        <v>148</v>
      </c>
      <c r="F48" s="219" t="s">
        <v>207</v>
      </c>
      <c r="G48" s="219" t="s">
        <v>148</v>
      </c>
      <c r="H48" s="219" t="s">
        <v>208</v>
      </c>
      <c r="I48" s="219" t="s">
        <v>148</v>
      </c>
      <c r="J48" s="219" t="s">
        <v>172</v>
      </c>
      <c r="K48" s="219" t="s">
        <v>148</v>
      </c>
      <c r="L48" s="219" t="s">
        <v>174</v>
      </c>
    </row>
    <row r="49" spans="1:12" ht="16.149999999999999" thickTop="1" thickBot="1" x14ac:dyDescent="0.5">
      <c r="A49" s="247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</row>
    <row r="50" spans="1:12" s="47" customFormat="1" ht="16.149999999999999" thickTop="1" thickBot="1" x14ac:dyDescent="0.5">
      <c r="A50" s="62" t="s">
        <v>255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256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251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194</v>
      </c>
      <c r="B63" s="49" t="s">
        <v>257</v>
      </c>
      <c r="E63" s="49"/>
      <c r="F63" s="58" t="s">
        <v>209</v>
      </c>
      <c r="G63" s="53">
        <f>B64*0.5</f>
        <v>43</v>
      </c>
    </row>
    <row r="64" spans="1:12" ht="16.149999999999999" thickTop="1" thickBot="1" x14ac:dyDescent="0.5">
      <c r="A64" s="55" t="s">
        <v>211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212</v>
      </c>
      <c r="B65" s="59">
        <f>ROUNDUP((B64/20)*5,0)</f>
        <v>22</v>
      </c>
      <c r="E65" s="218" t="s">
        <v>213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5" t="s">
        <v>162</v>
      </c>
      <c r="B66" s="55">
        <f>ROUNDUP((B64/20)*0.1,2)</f>
        <v>0.43</v>
      </c>
      <c r="C66" s="20" t="s">
        <v>55</v>
      </c>
      <c r="E66" s="218" t="s">
        <v>214</v>
      </c>
      <c r="F66" s="218"/>
      <c r="G66" s="218"/>
      <c r="H66" s="49" t="s">
        <v>117</v>
      </c>
      <c r="I66" s="218" t="s">
        <v>198</v>
      </c>
      <c r="J66" s="218"/>
      <c r="K66" s="218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571.505</v>
      </c>
      <c r="I72" s="48"/>
    </row>
    <row r="75" spans="1:16" ht="15.75" thickBot="1" x14ac:dyDescent="0.5">
      <c r="A75" s="84" t="s">
        <v>241</v>
      </c>
    </row>
    <row r="76" spans="1:16" ht="15.75" thickBot="1" x14ac:dyDescent="0.5">
      <c r="A76" s="49" t="s">
        <v>215</v>
      </c>
      <c r="B76" s="49" t="s">
        <v>167</v>
      </c>
      <c r="C76" s="69" t="s">
        <v>117</v>
      </c>
      <c r="D76" s="237" t="s">
        <v>179</v>
      </c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7" spans="1:16" ht="15.75" thickBot="1" x14ac:dyDescent="0.5">
      <c r="A77" s="49" t="s">
        <v>220</v>
      </c>
      <c r="B77" s="49">
        <v>6</v>
      </c>
      <c r="C77" s="69"/>
      <c r="D77" s="238" t="s">
        <v>258</v>
      </c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40"/>
    </row>
    <row r="78" spans="1:16" ht="15.75" thickBot="1" x14ac:dyDescent="0.5">
      <c r="A78" s="49" t="s">
        <v>216</v>
      </c>
      <c r="B78" s="49"/>
      <c r="C78" s="70">
        <f>B78</f>
        <v>0</v>
      </c>
      <c r="D78" s="241" t="s">
        <v>265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3"/>
    </row>
    <row r="79" spans="1:16" x14ac:dyDescent="0.45">
      <c r="A79" s="35"/>
      <c r="B79" s="35"/>
      <c r="C79" s="15"/>
      <c r="D79" s="241" t="s">
        <v>259</v>
      </c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6"/>
    </row>
    <row r="80" spans="1:16" x14ac:dyDescent="0.45">
      <c r="A80" s="35"/>
      <c r="B80" s="35"/>
      <c r="C80" s="15"/>
      <c r="D80" s="241" t="s">
        <v>260</v>
      </c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6"/>
    </row>
    <row r="81" spans="1:16" x14ac:dyDescent="0.45">
      <c r="A81" s="35"/>
      <c r="B81" s="35"/>
      <c r="C81" s="15"/>
      <c r="D81" s="241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6"/>
    </row>
    <row r="82" spans="1:16" ht="29.25" customHeight="1" x14ac:dyDescent="0.45">
      <c r="A82" s="35"/>
      <c r="B82" s="35"/>
      <c r="C82" s="15"/>
      <c r="D82" s="257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9"/>
    </row>
    <row r="83" spans="1:16" ht="15.75" thickBot="1" x14ac:dyDescent="0.5">
      <c r="A83" s="35"/>
      <c r="B83" s="35"/>
      <c r="C83" s="15"/>
      <c r="D83" s="252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217</v>
      </c>
      <c r="B86" s="49" t="s">
        <v>167</v>
      </c>
      <c r="C86" s="49" t="s">
        <v>117</v>
      </c>
      <c r="D86" s="218" t="s">
        <v>179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7" t="s">
        <v>220</v>
      </c>
      <c r="B87" s="57">
        <v>7</v>
      </c>
      <c r="C87" s="69"/>
      <c r="D87" s="248" t="s">
        <v>269</v>
      </c>
      <c r="E87" s="249"/>
      <c r="F87" s="249"/>
      <c r="G87" s="249"/>
      <c r="H87" s="249"/>
      <c r="I87" s="249"/>
      <c r="J87" s="249"/>
      <c r="K87" s="249"/>
      <c r="L87" s="249"/>
      <c r="M87" s="249"/>
      <c r="N87" s="249"/>
      <c r="O87" s="249"/>
      <c r="P87" s="250"/>
    </row>
    <row r="88" spans="1:16" ht="15.75" thickBot="1" x14ac:dyDescent="0.5">
      <c r="A88" s="165" t="s">
        <v>216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218</v>
      </c>
      <c r="B90" s="49" t="s">
        <v>167</v>
      </c>
      <c r="C90" s="49" t="s">
        <v>117</v>
      </c>
      <c r="D90" s="218" t="s">
        <v>179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thickBot="1" x14ac:dyDescent="0.5">
      <c r="A91" s="49"/>
      <c r="B91" s="49">
        <v>8</v>
      </c>
      <c r="C91" s="70">
        <f>B91*2</f>
        <v>16</v>
      </c>
      <c r="D91" s="225" t="s">
        <v>261</v>
      </c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7"/>
    </row>
    <row r="92" spans="1:16" ht="35.25" customHeight="1" thickBot="1" x14ac:dyDescent="0.5">
      <c r="D92" s="228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219</v>
      </c>
      <c r="B94" s="49" t="s">
        <v>167</v>
      </c>
      <c r="C94" s="49" t="s">
        <v>117</v>
      </c>
      <c r="D94" s="218" t="s">
        <v>179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9"/>
      <c r="B95" s="49">
        <v>1</v>
      </c>
      <c r="C95" s="70">
        <f>B95*4</f>
        <v>4</v>
      </c>
      <c r="D95" s="231" t="s">
        <v>262</v>
      </c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3"/>
    </row>
    <row r="96" spans="1:16" ht="15.75" thickBot="1" x14ac:dyDescent="0.5">
      <c r="D96" s="234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6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571.505</v>
      </c>
    </row>
  </sheetData>
  <sheetProtection algorithmName="SHA-512" hashValue="ES7HfwU5hTjPhCzpdz9O6lf1JtlcNsrwiCSXMgDrzH7K5w0shTgNj73Ugr+mO6Zw7S4hGEwTUn1ipxdbQv3esg==" saltValue="5VO4aBDt6nW1G8AhlNsNs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31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1" t="s">
        <v>242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3"/>
      <c r="C5" s="264" t="s">
        <v>222</v>
      </c>
      <c r="D5" s="265"/>
      <c r="E5" s="265"/>
      <c r="F5" s="265"/>
      <c r="G5" s="265"/>
      <c r="H5" s="265"/>
      <c r="I5" s="266"/>
      <c r="J5" s="17"/>
      <c r="K5" s="262" t="s">
        <v>223</v>
      </c>
      <c r="L5" s="262"/>
      <c r="M5" s="262"/>
      <c r="N5" s="262"/>
      <c r="O5" s="262"/>
      <c r="P5" s="262"/>
    </row>
    <row r="6" spans="1:16" s="11" customFormat="1" ht="18" thickBot="1" x14ac:dyDescent="0.55000000000000004">
      <c r="B6" s="26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1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2" t="s">
        <v>224</v>
      </c>
      <c r="D9" s="262"/>
      <c r="E9" s="262"/>
      <c r="F9" s="262"/>
      <c r="G9" s="262"/>
      <c r="H9" s="262"/>
      <c r="I9" s="40"/>
      <c r="K9" s="262" t="s">
        <v>225</v>
      </c>
      <c r="L9" s="262"/>
      <c r="M9" s="262"/>
      <c r="N9" s="262"/>
      <c r="O9" s="262"/>
      <c r="P9" s="26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266</v>
      </c>
      <c r="C11" s="71"/>
      <c r="D11" s="40"/>
      <c r="E11" s="40">
        <v>1</v>
      </c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7" t="s">
        <v>234</v>
      </c>
      <c r="C33" s="268"/>
      <c r="D33" s="268"/>
      <c r="E33" s="268"/>
      <c r="F33" s="268"/>
      <c r="G33" s="269"/>
      <c r="H33" s="28"/>
    </row>
    <row r="34" spans="2:16" x14ac:dyDescent="0.5">
      <c r="B34" s="42" t="s">
        <v>181</v>
      </c>
      <c r="C34" s="42" t="s">
        <v>214</v>
      </c>
      <c r="D34" s="42" t="s">
        <v>226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Comida en Corea</v>
      </c>
      <c r="C35" s="42" t="s">
        <v>267</v>
      </c>
      <c r="D35" s="42" t="s">
        <v>92</v>
      </c>
      <c r="E35" s="72">
        <v>50</v>
      </c>
      <c r="F35" s="156">
        <v>0</v>
      </c>
      <c r="G35" s="42" t="s">
        <v>10</v>
      </c>
    </row>
    <row r="36" spans="2:16" x14ac:dyDescent="0.5">
      <c r="B36" s="42" t="str">
        <f t="shared" ref="B36:B41" si="1">_xlfn.CONCAT(D36," en ",C36)</f>
        <v>Hierro en Corea</v>
      </c>
      <c r="C36" s="42" t="s">
        <v>267</v>
      </c>
      <c r="D36" s="42" t="s">
        <v>96</v>
      </c>
      <c r="E36" s="72">
        <v>60</v>
      </c>
      <c r="F36" s="156">
        <v>0</v>
      </c>
      <c r="G36" s="42" t="s">
        <v>10</v>
      </c>
    </row>
    <row r="37" spans="2:16" s="186" customFormat="1" x14ac:dyDescent="0.5">
      <c r="B37" s="42" t="str">
        <f t="shared" si="1"/>
        <v>Industria en Moscú</v>
      </c>
      <c r="C37" s="42" t="s">
        <v>277</v>
      </c>
      <c r="D37" s="42" t="s">
        <v>135</v>
      </c>
      <c r="E37" s="72">
        <v>80</v>
      </c>
      <c r="F37" s="156">
        <v>0</v>
      </c>
      <c r="G37" s="42" t="s">
        <v>120</v>
      </c>
    </row>
    <row r="38" spans="2:16" s="186" customFormat="1" x14ac:dyDescent="0.5">
      <c r="B38" s="42" t="str">
        <f t="shared" si="1"/>
        <v>Industria en Vladivostock</v>
      </c>
      <c r="C38" s="42" t="s">
        <v>273</v>
      </c>
      <c r="D38" s="42" t="s">
        <v>135</v>
      </c>
      <c r="E38" s="72">
        <v>85</v>
      </c>
      <c r="F38" s="156">
        <v>0</v>
      </c>
      <c r="G38" s="42" t="s">
        <v>120</v>
      </c>
    </row>
    <row r="39" spans="2:16" s="186" customFormat="1" x14ac:dyDescent="0.5">
      <c r="B39" s="42" t="str">
        <f t="shared" si="1"/>
        <v>Mat Primas en Irkutsk</v>
      </c>
      <c r="C39" s="42" t="s">
        <v>274</v>
      </c>
      <c r="D39" s="42" t="s">
        <v>99</v>
      </c>
      <c r="E39" s="72">
        <v>55</v>
      </c>
      <c r="F39" s="156">
        <v>0</v>
      </c>
      <c r="G39" s="42" t="s">
        <v>120</v>
      </c>
    </row>
    <row r="40" spans="2:16" x14ac:dyDescent="0.5">
      <c r="B40" s="42" t="str">
        <f t="shared" si="1"/>
        <v>Comida en Ekaterimburgo</v>
      </c>
      <c r="C40" s="42" t="s">
        <v>275</v>
      </c>
      <c r="D40" s="42" t="s">
        <v>92</v>
      </c>
      <c r="E40" s="72">
        <v>55</v>
      </c>
      <c r="F40" s="156">
        <v>0</v>
      </c>
      <c r="G40" s="42" t="s">
        <v>120</v>
      </c>
    </row>
    <row r="41" spans="2:16" x14ac:dyDescent="0.5">
      <c r="B41" s="42" t="str">
        <f t="shared" si="1"/>
        <v>Mat Primas en Omsk</v>
      </c>
      <c r="C41" s="42" t="s">
        <v>276</v>
      </c>
      <c r="D41" s="42" t="s">
        <v>99</v>
      </c>
      <c r="E41" s="72">
        <v>60</v>
      </c>
      <c r="F41" s="156">
        <v>0</v>
      </c>
      <c r="G41" s="42" t="s">
        <v>120</v>
      </c>
    </row>
    <row r="42" spans="2:16" x14ac:dyDescent="0.5">
      <c r="D42" s="260"/>
      <c r="E42" s="260"/>
      <c r="F42" s="13"/>
      <c r="G42" s="28"/>
    </row>
    <row r="43" spans="2:16" x14ac:dyDescent="0.5">
      <c r="D43" s="260"/>
      <c r="E43" s="260"/>
      <c r="F43" s="13"/>
      <c r="G43" s="28"/>
    </row>
    <row r="44" spans="2:16" x14ac:dyDescent="0.5">
      <c r="D44" s="260"/>
      <c r="E44" s="260"/>
      <c r="F44" s="13"/>
      <c r="G44" s="28"/>
    </row>
    <row r="45" spans="2:16" x14ac:dyDescent="0.5">
      <c r="D45" s="260"/>
      <c r="E45" s="260"/>
      <c r="F45" s="260"/>
      <c r="G45" s="14"/>
    </row>
    <row r="48" spans="2:16" x14ac:dyDescent="0.5">
      <c r="D48" s="260"/>
      <c r="E48" s="260"/>
      <c r="F48" s="260"/>
      <c r="G48" s="260"/>
      <c r="H48" s="260"/>
      <c r="I48" s="260"/>
      <c r="K48" s="260"/>
      <c r="L48" s="260"/>
      <c r="M48" s="260"/>
      <c r="N48" s="260"/>
      <c r="O48" s="260"/>
      <c r="P48" s="260"/>
    </row>
    <row r="52" spans="2:17" x14ac:dyDescent="0.5">
      <c r="D52" s="260"/>
      <c r="E52" s="260"/>
      <c r="F52" s="14"/>
      <c r="G52" s="28"/>
      <c r="I52" s="28"/>
    </row>
    <row r="53" spans="2:17" x14ac:dyDescent="0.5">
      <c r="D53" s="260"/>
      <c r="E53" s="260"/>
      <c r="F53" s="14"/>
      <c r="G53" s="28"/>
    </row>
    <row r="54" spans="2:17" x14ac:dyDescent="0.5">
      <c r="D54" s="260"/>
      <c r="E54" s="260"/>
      <c r="F54" s="14"/>
      <c r="G54" s="28"/>
    </row>
    <row r="55" spans="2:17" x14ac:dyDescent="0.5">
      <c r="D55" s="260"/>
      <c r="E55" s="260"/>
      <c r="F55" s="14"/>
      <c r="G55" s="28"/>
    </row>
    <row r="56" spans="2:17" x14ac:dyDescent="0.5">
      <c r="D56" s="260"/>
      <c r="E56" s="260"/>
      <c r="F56" s="13"/>
      <c r="G56" s="28"/>
      <c r="I56" s="28"/>
    </row>
    <row r="57" spans="2:17" x14ac:dyDescent="0.5">
      <c r="D57" s="260"/>
      <c r="E57" s="260"/>
      <c r="F57" s="13"/>
      <c r="G57" s="28"/>
    </row>
    <row r="58" spans="2:17" x14ac:dyDescent="0.5">
      <c r="D58" s="260"/>
      <c r="E58" s="260"/>
      <c r="F58" s="260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60"/>
      <c r="E66" s="260"/>
      <c r="F66" s="260"/>
      <c r="G66" s="260"/>
      <c r="H66" s="260"/>
      <c r="I66" s="260"/>
      <c r="K66" s="260"/>
      <c r="L66" s="260"/>
      <c r="M66" s="260"/>
      <c r="N66" s="260"/>
      <c r="O66" s="260"/>
      <c r="P66" s="260"/>
    </row>
    <row r="69" spans="3:17" x14ac:dyDescent="0.5">
      <c r="D69" s="28"/>
    </row>
    <row r="70" spans="3:17" x14ac:dyDescent="0.5">
      <c r="D70" s="260"/>
      <c r="E70" s="260"/>
      <c r="F70" s="14"/>
      <c r="G70" s="28"/>
    </row>
    <row r="71" spans="3:17" x14ac:dyDescent="0.5">
      <c r="D71" s="260"/>
      <c r="E71" s="260"/>
      <c r="F71" s="14"/>
    </row>
    <row r="72" spans="3:17" x14ac:dyDescent="0.5">
      <c r="D72" s="260"/>
      <c r="E72" s="260"/>
      <c r="F72" s="13"/>
    </row>
    <row r="73" spans="3:17" x14ac:dyDescent="0.5">
      <c r="D73" s="260"/>
      <c r="E73" s="260"/>
      <c r="F73" s="13"/>
    </row>
    <row r="74" spans="3:17" x14ac:dyDescent="0.5">
      <c r="D74" s="260"/>
      <c r="E74" s="260"/>
      <c r="F74" s="260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60"/>
      <c r="E81" s="260"/>
      <c r="F81" s="260"/>
      <c r="G81" s="260"/>
      <c r="H81" s="260"/>
      <c r="I81" s="260"/>
      <c r="K81" s="260"/>
      <c r="L81" s="260"/>
      <c r="M81" s="260"/>
      <c r="N81" s="260"/>
      <c r="O81" s="260"/>
      <c r="P81" s="260"/>
    </row>
    <row r="85" spans="4:16" x14ac:dyDescent="0.5">
      <c r="D85" s="260"/>
      <c r="E85" s="260"/>
    </row>
    <row r="86" spans="4:16" x14ac:dyDescent="0.5">
      <c r="D86" s="260"/>
      <c r="E86" s="260"/>
      <c r="F86" s="14"/>
    </row>
    <row r="89" spans="4:16" x14ac:dyDescent="0.5">
      <c r="E89" s="14"/>
      <c r="F89" s="28"/>
      <c r="J89" s="28"/>
    </row>
    <row r="90" spans="4:16" x14ac:dyDescent="0.5">
      <c r="D90" s="260"/>
      <c r="E90" s="260"/>
      <c r="F90" s="260"/>
      <c r="G90" s="260"/>
      <c r="H90" s="260"/>
      <c r="I90" s="260"/>
      <c r="K90" s="260"/>
      <c r="L90" s="260"/>
      <c r="M90" s="260"/>
      <c r="N90" s="260"/>
      <c r="O90" s="260"/>
      <c r="P90" s="260"/>
    </row>
    <row r="94" spans="4:16" x14ac:dyDescent="0.5">
      <c r="D94" s="260"/>
      <c r="E94" s="260"/>
      <c r="F94" s="14"/>
      <c r="H94" s="28"/>
    </row>
    <row r="95" spans="4:16" x14ac:dyDescent="0.5">
      <c r="D95" s="260"/>
      <c r="E95" s="260"/>
      <c r="F95" s="14"/>
    </row>
    <row r="96" spans="4:16" x14ac:dyDescent="0.5">
      <c r="D96" s="260"/>
      <c r="E96" s="260"/>
      <c r="F96" s="13"/>
    </row>
    <row r="97" spans="2:17" x14ac:dyDescent="0.5">
      <c r="D97" s="260"/>
      <c r="E97" s="260"/>
      <c r="F97" s="260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60"/>
      <c r="E108" s="260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60"/>
      <c r="E115" s="260"/>
      <c r="F115" s="14"/>
      <c r="G115" s="28"/>
      <c r="I115" s="28"/>
    </row>
    <row r="116" spans="4:16" x14ac:dyDescent="0.5">
      <c r="D116" s="260"/>
      <c r="E116" s="260"/>
      <c r="F116" s="14"/>
      <c r="G116" s="28"/>
    </row>
    <row r="117" spans="4:16" x14ac:dyDescent="0.5">
      <c r="D117" s="260"/>
      <c r="E117" s="260"/>
      <c r="F117" s="14"/>
      <c r="G117" s="28"/>
    </row>
    <row r="118" spans="4:16" x14ac:dyDescent="0.5">
      <c r="D118" s="260"/>
      <c r="E118" s="260"/>
      <c r="F118" s="14"/>
      <c r="G118" s="14"/>
      <c r="I118" s="28"/>
    </row>
    <row r="119" spans="4:16" x14ac:dyDescent="0.5">
      <c r="D119" s="270"/>
      <c r="E119" s="270"/>
      <c r="F119" s="270"/>
      <c r="G119" s="270"/>
      <c r="H119" s="270"/>
      <c r="I119" s="270"/>
      <c r="J119" s="270"/>
      <c r="K119" s="270"/>
      <c r="L119" s="270"/>
      <c r="M119" s="270"/>
      <c r="N119" s="270"/>
      <c r="O119" s="270"/>
      <c r="P119" s="270"/>
    </row>
    <row r="120" spans="4:16" x14ac:dyDescent="0.5">
      <c r="E120" s="14"/>
      <c r="F120" s="28"/>
    </row>
    <row r="121" spans="4:16" x14ac:dyDescent="0.5">
      <c r="D121" s="260"/>
      <c r="E121" s="260"/>
    </row>
    <row r="122" spans="4:16" x14ac:dyDescent="0.5">
      <c r="D122" s="260"/>
      <c r="E122" s="260"/>
      <c r="F122" s="14"/>
      <c r="H122" s="28"/>
    </row>
    <row r="123" spans="4:16" x14ac:dyDescent="0.5">
      <c r="D123" s="260"/>
      <c r="E123" s="260"/>
      <c r="F123" s="260"/>
      <c r="G123" s="260"/>
      <c r="H123" s="260"/>
      <c r="I123" s="260"/>
      <c r="K123" s="260"/>
      <c r="L123" s="260"/>
      <c r="M123" s="260"/>
      <c r="N123" s="260"/>
      <c r="O123" s="260"/>
      <c r="P123" s="260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60"/>
      <c r="E136" s="260"/>
    </row>
    <row r="137" spans="2:7" x14ac:dyDescent="0.5">
      <c r="D137" s="260"/>
      <c r="E137" s="260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60"/>
      <c r="E148" s="260"/>
      <c r="F148" s="260"/>
      <c r="G148" s="260"/>
      <c r="H148" s="260"/>
      <c r="I148" s="260"/>
      <c r="K148" s="260"/>
      <c r="L148" s="260"/>
      <c r="M148" s="260"/>
      <c r="N148" s="260"/>
      <c r="O148" s="260"/>
      <c r="P148" s="260"/>
    </row>
    <row r="149" spans="2:16" x14ac:dyDescent="0.5">
      <c r="C149" s="37"/>
    </row>
    <row r="153" spans="2:16" x14ac:dyDescent="0.5">
      <c r="D153" s="260"/>
      <c r="E153" s="260"/>
      <c r="F153" s="260"/>
      <c r="G153" s="260"/>
      <c r="H153" s="260"/>
      <c r="I153" s="260"/>
      <c r="K153" s="260"/>
      <c r="L153" s="260"/>
      <c r="M153" s="260"/>
      <c r="N153" s="260"/>
      <c r="O153" s="260"/>
      <c r="P153" s="260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60"/>
      <c r="E160" s="260"/>
      <c r="F160" s="260"/>
      <c r="G160" s="260"/>
      <c r="H160" s="260"/>
      <c r="I160" s="260"/>
      <c r="K160" s="260"/>
      <c r="L160" s="260"/>
      <c r="M160" s="260"/>
      <c r="N160" s="260"/>
      <c r="O160" s="260"/>
      <c r="P160" s="260"/>
    </row>
    <row r="164" spans="5:6" x14ac:dyDescent="0.5">
      <c r="E164" s="14"/>
      <c r="F164" s="28"/>
    </row>
  </sheetData>
  <sheetProtection algorithmName="SHA-512" hashValue="jZ3OV0olwY3y31BhrEFakoCywV/7jFmroeOWTcDG+NfYQ8zM1qXBEOmw/+nByuw/NQ8DVn5oneuv3/HPHgtP+Q==" saltValue="wgwJUD+M4KydTBVvxUeK5A==" spinCount="100000" sheet="1" objects="1" scenarios="1"/>
  <mergeCells count="55">
    <mergeCell ref="D136:E136"/>
    <mergeCell ref="D122:E122"/>
    <mergeCell ref="D123:I123"/>
    <mergeCell ref="D153:I153"/>
    <mergeCell ref="K153:P153"/>
    <mergeCell ref="D148:I148"/>
    <mergeCell ref="K148:P148"/>
    <mergeCell ref="D137:E137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55:E55"/>
    <mergeCell ref="D73:E73"/>
    <mergeCell ref="D74:F74"/>
    <mergeCell ref="D56:E56"/>
    <mergeCell ref="D57:E57"/>
    <mergeCell ref="D58:F58"/>
    <mergeCell ref="D66:I66"/>
    <mergeCell ref="B1:P1"/>
    <mergeCell ref="K9:P9"/>
    <mergeCell ref="D42:E42"/>
    <mergeCell ref="D44:E44"/>
    <mergeCell ref="B5:B6"/>
    <mergeCell ref="K5:P5"/>
    <mergeCell ref="D43:E43"/>
    <mergeCell ref="C5:I5"/>
    <mergeCell ref="C9:H9"/>
    <mergeCell ref="B33:G33"/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60</v>
      </c>
      <c r="E1" s="187"/>
    </row>
    <row r="2" spans="1:9" s="26" customFormat="1" ht="13.15" thickBot="1" x14ac:dyDescent="0.4"/>
    <row r="3" spans="1:9" s="26" customFormat="1" x14ac:dyDescent="0.35">
      <c r="A3" s="271" t="s">
        <v>232</v>
      </c>
      <c r="B3" s="271"/>
      <c r="C3" s="271"/>
      <c r="D3" s="271"/>
      <c r="E3" s="188"/>
      <c r="G3" s="272" t="s">
        <v>233</v>
      </c>
      <c r="H3" s="273"/>
      <c r="I3" s="274"/>
    </row>
    <row r="4" spans="1:9" x14ac:dyDescent="0.35">
      <c r="A4" s="271" t="s">
        <v>227</v>
      </c>
      <c r="B4" s="271"/>
      <c r="C4" s="271"/>
      <c r="D4" s="73" t="s">
        <v>228</v>
      </c>
      <c r="E4" s="187"/>
      <c r="G4" s="78" t="s">
        <v>227</v>
      </c>
      <c r="H4" s="76" t="s">
        <v>117</v>
      </c>
      <c r="I4" s="79" t="s">
        <v>123</v>
      </c>
    </row>
    <row r="5" spans="1:9" x14ac:dyDescent="0.35">
      <c r="A5" s="271" t="s">
        <v>264</v>
      </c>
      <c r="B5" s="271"/>
      <c r="C5" s="271"/>
      <c r="D5" s="73">
        <v>10</v>
      </c>
      <c r="E5" s="187"/>
      <c r="G5" s="78" t="s">
        <v>246</v>
      </c>
      <c r="H5" s="77">
        <v>35</v>
      </c>
      <c r="I5" s="79">
        <v>3</v>
      </c>
    </row>
    <row r="6" spans="1:9" x14ac:dyDescent="0.35">
      <c r="A6" s="271" t="s">
        <v>248</v>
      </c>
      <c r="B6" s="271"/>
      <c r="C6" s="271"/>
      <c r="D6" s="74">
        <v>50</v>
      </c>
      <c r="E6" s="189"/>
      <c r="G6" s="78" t="s">
        <v>247</v>
      </c>
      <c r="H6" s="77">
        <v>45</v>
      </c>
      <c r="I6" s="79">
        <v>3</v>
      </c>
    </row>
    <row r="7" spans="1:9" x14ac:dyDescent="0.35">
      <c r="A7" s="271"/>
      <c r="B7" s="271"/>
      <c r="C7" s="271"/>
      <c r="D7" s="74"/>
      <c r="E7" s="189"/>
      <c r="G7" s="78" t="s">
        <v>249</v>
      </c>
      <c r="H7" s="77">
        <v>50</v>
      </c>
      <c r="I7" s="79">
        <v>3</v>
      </c>
    </row>
    <row r="8" spans="1:9" x14ac:dyDescent="0.35">
      <c r="A8" s="271"/>
      <c r="B8" s="271"/>
      <c r="C8" s="271"/>
      <c r="D8" s="74"/>
      <c r="E8" s="189"/>
      <c r="G8" s="78"/>
      <c r="H8" s="77"/>
      <c r="I8" s="79"/>
    </row>
    <row r="9" spans="1:9" x14ac:dyDescent="0.35">
      <c r="A9" s="271"/>
      <c r="B9" s="271"/>
      <c r="C9" s="271"/>
      <c r="D9" s="73"/>
      <c r="E9" s="187"/>
      <c r="G9" s="78"/>
      <c r="H9" s="77"/>
      <c r="I9" s="79"/>
    </row>
    <row r="10" spans="1:9" x14ac:dyDescent="0.35">
      <c r="A10" s="271"/>
      <c r="B10" s="271"/>
      <c r="C10" s="271"/>
      <c r="D10" s="74"/>
      <c r="E10" s="189"/>
      <c r="G10" s="78"/>
      <c r="H10" s="77"/>
      <c r="I10" s="79"/>
    </row>
    <row r="11" spans="1:9" x14ac:dyDescent="0.35">
      <c r="A11" s="271"/>
      <c r="B11" s="271"/>
      <c r="C11" s="271"/>
      <c r="D11" s="73"/>
      <c r="E11" s="187"/>
      <c r="G11" s="78"/>
      <c r="H11" s="77"/>
      <c r="I11" s="79"/>
    </row>
    <row r="12" spans="1:9" x14ac:dyDescent="0.35">
      <c r="A12" s="271"/>
      <c r="B12" s="271"/>
      <c r="C12" s="271"/>
      <c r="D12" s="73"/>
      <c r="E12" s="187"/>
      <c r="G12" s="78"/>
      <c r="H12" s="77"/>
      <c r="I12" s="79"/>
    </row>
    <row r="13" spans="1:9" x14ac:dyDescent="0.35">
      <c r="A13" s="271"/>
      <c r="B13" s="271"/>
      <c r="C13" s="271"/>
      <c r="D13" s="73"/>
      <c r="E13" s="187"/>
      <c r="G13" s="78"/>
      <c r="H13" s="77"/>
      <c r="I13" s="79"/>
    </row>
    <row r="14" spans="1:9" ht="13.15" thickBot="1" x14ac:dyDescent="0.4">
      <c r="A14" s="271"/>
      <c r="B14" s="271"/>
      <c r="C14" s="271"/>
      <c r="D14" s="73"/>
      <c r="E14" s="187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qPkeuvqKFRw3U6xN2k/oRVh7D5F5Hwvvw+Tt3+fPeEVLRP2a2bjV8HAoZq3lbyKnLGk3X6LpMnVM7j9OiihKUQ==" saltValue="S97+razsmDioyASA/KywiA==" spinCount="100000" sheet="1" objects="1" scenarios="1"/>
  <mergeCells count="13">
    <mergeCell ref="A3:D3"/>
    <mergeCell ref="G3:I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2.9296875" style="1" customWidth="1"/>
    <col min="3" max="3" width="11.06640625" style="1" customWidth="1"/>
    <col min="4" max="9" width="9.1328125" style="1"/>
    <col min="10" max="10" width="12.6640625" style="1" customWidth="1"/>
    <col min="11" max="12" width="9.1328125" style="1"/>
    <col min="13" max="13" width="9.59765625" style="1" customWidth="1"/>
    <col min="14" max="14" width="9.1328125" style="1"/>
    <col min="15" max="15" width="10.9296875" style="1" customWidth="1"/>
    <col min="16" max="16" width="14.2656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178.5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