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9C01D296-DF5A-4A74-AEDA-876FEE5DF654}" xr6:coauthVersionLast="47" xr6:coauthVersionMax="47" xr10:uidLastSave="{00000000-0000-0000-0000-000000000000}"/>
  <bookViews>
    <workbookView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4" i="1" l="1"/>
  <c r="C95" i="1"/>
  <c r="C96" i="1"/>
  <c r="C93" i="1"/>
  <c r="B94" i="1"/>
  <c r="B95" i="1"/>
  <c r="B96" i="1"/>
  <c r="B93" i="1"/>
  <c r="B48" i="4"/>
  <c r="B62" i="4"/>
  <c r="B61" i="4" l="1"/>
  <c r="B40" i="4" l="1"/>
  <c r="B43" i="4" l="1"/>
  <c r="H86" i="1" s="1"/>
  <c r="B44" i="4"/>
  <c r="B45" i="4"/>
  <c r="B46" i="4"/>
  <c r="B47" i="4"/>
  <c r="B49" i="4"/>
  <c r="B50" i="4"/>
  <c r="B51" i="4"/>
  <c r="B52" i="4"/>
  <c r="B53" i="4"/>
  <c r="B54" i="4"/>
  <c r="B55" i="4"/>
  <c r="B56" i="4"/>
  <c r="B57" i="4"/>
  <c r="B58" i="4"/>
  <c r="B59" i="4"/>
  <c r="B60" i="4"/>
  <c r="B63" i="4"/>
  <c r="C85" i="1"/>
  <c r="B41" i="4"/>
  <c r="H88" i="1" s="1"/>
  <c r="B42" i="4"/>
  <c r="B88" i="1" l="1"/>
  <c r="C88" i="1"/>
  <c r="C89" i="1"/>
  <c r="H89" i="1"/>
  <c r="B89" i="1"/>
  <c r="B87" i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93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64" i="3"/>
  <c r="D64" i="3"/>
  <c r="L64" i="3"/>
  <c r="H64" i="3"/>
  <c r="J64" i="3"/>
  <c r="F64" i="3"/>
  <c r="C83" i="3"/>
  <c r="C99" i="3"/>
  <c r="C103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6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7" i="3"/>
  <c r="O11" i="3" s="1"/>
  <c r="I9" i="1"/>
  <c r="F97" i="1"/>
  <c r="E97" i="1"/>
  <c r="E98" i="1" s="1"/>
  <c r="P62" i="1"/>
  <c r="H62" i="1"/>
  <c r="O27" i="2"/>
  <c r="B69" i="3"/>
  <c r="B70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71" i="3"/>
  <c r="P9" i="3" s="1"/>
  <c r="P12" i="3" s="1"/>
  <c r="B5" i="1" s="1"/>
  <c r="B8" i="1" s="1"/>
  <c r="G68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7" i="3" s="1"/>
  <c r="D110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4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8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4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<sst xmlns="http://schemas.openxmlformats.org/spreadsheetml/2006/main" count="765" uniqueCount="368">
  <si>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</si>
  <si>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</si>
  <si>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</si>
  <si>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</si>
  <si>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</si>
  <si>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</si>
  <si>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</si>
  <si>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</si>
  <si>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</si>
  <si>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</si>
  <si>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</si>
  <si>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</si>
  <si>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</si>
  <si>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</si>
  <si>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</si>
  <si>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</si>
  <si>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</si>
  <si>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</si>
  <si>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</si>
  <si>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</si>
  <si>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</si>
  <si>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</si>
  <si>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</si>
  <si>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</si>
  <si>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</si>
  <si>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</si>
  <si>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</si>
  <si>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</si>
  <si>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</si>
  <si>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</si>
  <si>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</si>
  <si>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</si>
  <si>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</si>
  <si>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</si>
  <si>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</si>
  <si>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</si>
  <si>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</si>
  <si>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</si>
  <si>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</si>
  <si>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</si>
  <si>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</si>
  <si>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</si>
  <si>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</si>
  <si>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</si>
  <si>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</si>
  <si>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</si>
  <si>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</si>
  <si>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</si>
  <si>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</si>
  <si>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</si>
  <si>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</si>
  <si>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</si>
  <si>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</si>
  <si>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</si>
  <si>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</si>
  <si>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</si>
  <si>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</si>
  <si>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</si>
  <si>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</si>
  <si>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</si>
  <si>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</si>
  <si>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</si>
  <si>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</si>
  <si>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</si>
  <si>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</si>
  <si>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</si>
  <si>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</si>
  <si>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</si>
  <si>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</si>
  <si>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</si>
  <si>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</si>
  <si>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</si>
  <si>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</si>
  <si>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</si>
  <si>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</si>
  <si>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</si>
  <si>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</si>
  <si>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</si>
  <si>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</si>
  <si>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</si>
  <si>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</si>
  <si>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</si>
  <si>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</si>
  <si>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</si>
  <si>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</si>
  <si>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</si>
  <si>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</si>
  <si>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</si>
  <si>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</si>
  <si>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</si>
  <si>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</si>
  <si>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</si>
  <si>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</si>
  <si>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</si>
  <si>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</si>
  <si>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</si>
  <si>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</si>
  <si>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</si>
  <si>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</si>
  <si>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</si>
  <si>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</si>
  <si>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</si>
  <si>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</si>
  <si>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</si>
  <si>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</si>
  <si>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</si>
  <si>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</si>
  <si>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</si>
  <si>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</si>
  <si>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</si>
  <si>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</si>
  <si>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</si>
  <si>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</si>
  <si>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</si>
  <si>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</si>
  <si>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</si>
  <si>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</si>
  <si>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</si>
  <si>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</si>
  <si>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</si>
  <si>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</si>
  <si>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</si>
  <si>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</si>
  <si>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</si>
  <si>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</si>
  <si>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</si>
  <si>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</si>
  <si>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</si>
  <si>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</si>
  <si>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</si>
  <si>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</si>
  <si>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</si>
  <si>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</si>
  <si>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</si>
  <si>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</si>
  <si>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</si>
  <si>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</si>
  <si>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</si>
  <si>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</si>
  <si>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</si>
  <si>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</si>
  <si>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</si>
  <si>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</si>
  <si>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</si>
  <si>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</si>
  <si>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</si>
  <si>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</si>
  <si>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</si>
  <si>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</si>
  <si>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</si>
  <si>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</si>
  <si>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</si>
  <si>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</si>
  <si>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</si>
  <si>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</si>
  <si>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</si>
  <si>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</si>
  <si>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</si>
  <si>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</si>
  <si>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</si>
  <si>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</si>
  <si>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</si>
  <si>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</si>
  <si>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</si>
  <si>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</si>
  <si>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</si>
  <si>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</si>
  <si>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</si>
  <si>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</si>
  <si>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</si>
  <si>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</si>
  <si>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</si>
  <si>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</si>
  <si>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</si>
  <si>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</si>
  <si>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</si>
  <si>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</si>
  <si>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</si>
  <si>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</si>
  <si>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</si>
  <si>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</si>
  <si>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</si>
  <si>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</si>
  <si>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</si>
  <si>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</si>
  <si>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</si>
  <si>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</si>
  <si>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</si>
  <si>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</si>
  <si>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</si>
  <si>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</si>
  <si>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</si>
  <si>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</si>
  <si>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</si>
  <si>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</si>
  <si>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</si>
  <si>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</si>
  <si>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</si>
  <si>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</si>
  <si>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</si>
  <si>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</si>
  <si>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</si>
  <si>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</si>
  <si>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</si>
  <si>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</si>
  <si>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</si>
  <si>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</si>
  <si>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</si>
  <si>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</si>
  <si>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</si>
  <si>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</si>
  <si>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</si>
  <si>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</si>
  <si>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</si>
  <si>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</si>
  <si>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</si>
  <si>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</si>
  <si>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</si>
  <si>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</si>
  <si>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</si>
  <si>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</si>
  <si>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</si>
  <si>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</si>
  <si>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</si>
  <si>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</si>
  <si>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</si>
  <si>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</si>
  <si>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</si>
  <si>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</si>
  <si>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</si>
  <si>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</si>
  <si>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</si>
  <si>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</si>
  <si>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</si>
  <si>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</si>
  <si>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</si>
  <si>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</si>
  <si>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</si>
  <si>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</si>
  <si>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</si>
  <si>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</si>
  <si>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</si>
  <si>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</si>
  <si>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</si>
  <si>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</si>
  <si>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</si>
  <si>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</si>
  <si>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</si>
  <si>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</si>
  <si>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</si>
  <si>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</si>
  <si>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</si>
  <si>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</si>
  <si>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</si>
  <si>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</si>
  <si>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</si>
  <si>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</si>
  <si>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</si>
  <si>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</si>
  <si>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</si>
  <si>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</si>
  <si>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Comida 1</t>
  </si>
  <si>
    <t>Comida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</si>
  <si>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</si>
  <si>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</si>
  <si>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</si>
  <si>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</si>
  <si>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</si>
  <si>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</si>
  <si>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</si>
  <si>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</si>
  <si>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</si>
  <si>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</si>
  <si>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</si>
  <si>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</si>
  <si>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</si>
  <si>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</si>
  <si>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</si>
  <si>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</si>
  <si>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</si>
  <si>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</si>
  <si>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</si>
  <si>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</si>
  <si>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</si>
  <si>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</si>
  <si>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</si>
  <si>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</si>
  <si>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</si>
  <si>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</si>
  <si>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</si>
  <si>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</si>
  <si>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</si>
  <si>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</si>
  <si>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</si>
  <si>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</si>
  <si>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</si>
  <si>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</si>
  <si>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</si>
  <si>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</si>
  <si>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</si>
  <si>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</si>
  <si>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</si>
  <si>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</si>
  <si>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</si>
  <si>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</si>
  <si>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</si>
  <si>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</si>
  <si>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</si>
  <si>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</si>
  <si>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</si>
  <si>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</si>
  <si>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</si>
  <si>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</si>
  <si>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</si>
  <si>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</si>
  <si>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</si>
  <si>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</si>
  <si>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Home Fleet II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</si>
  <si>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</si>
  <si>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</si>
  <si>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</si>
  <si>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</si>
  <si>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</si>
  <si>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</si>
  <si>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2 Astilleros por puerto en la Metrópoli</t>
  </si>
  <si>
    <t xml:space="preserve">Atlantico Norte: St. John Newfoundland - (2), Halifax, Bermuda </t>
  </si>
  <si>
    <t>Pacífico: Sidney</t>
  </si>
  <si>
    <t>Rodesia</t>
  </si>
  <si>
    <t>Gaborone-Bulawayo</t>
  </si>
  <si>
    <t>Red Nacional Brasileña</t>
  </si>
  <si>
    <t>Luanda-Brazzaville</t>
  </si>
  <si>
    <t>(4 millones de Irlandeses)</t>
  </si>
  <si>
    <t>2 Exóticos en Nigeria y Jamaica. 1 en Kenia y Malasia</t>
  </si>
  <si>
    <t>Damasco-Jerusalem</t>
  </si>
  <si>
    <t>Damasco-Basora</t>
  </si>
  <si>
    <t>Jerusalen-Medina</t>
  </si>
  <si>
    <t>Lento</t>
  </si>
  <si>
    <t>6 Materias primas en India</t>
  </si>
  <si>
    <t>Home Fleet III</t>
  </si>
  <si>
    <t>Sudán</t>
  </si>
  <si>
    <t>Asuan-Juba</t>
  </si>
  <si>
    <t>Otomanos (Indefinido)</t>
  </si>
  <si>
    <t>Ferrocarril Trans Canadiense</t>
  </si>
  <si>
    <t>(AC) Artillería de Campaña C</t>
  </si>
  <si>
    <t>Argentina (hasta 1903)</t>
  </si>
  <si>
    <t>Peru (hasta 1903)</t>
  </si>
  <si>
    <t>Suecia (hasta 1903)</t>
  </si>
  <si>
    <t>Siam (hasta 1903)</t>
  </si>
  <si>
    <t>Brasil (hasta 1903)</t>
  </si>
  <si>
    <t>Rumania (hasta 1904)</t>
  </si>
  <si>
    <t>Venezuela (hasta 1904)</t>
  </si>
  <si>
    <t>Guatemala (hasta 1904)</t>
  </si>
  <si>
    <t>4 Industrias en India, 4 en El Cabo, 2 en Canada. 1 en Australia.</t>
  </si>
  <si>
    <t>Brasil</t>
  </si>
  <si>
    <t>Mat prima</t>
  </si>
  <si>
    <t>(AL) Armas Ligeras B</t>
  </si>
  <si>
    <t>(AA) Artilería de Asedio B</t>
  </si>
  <si>
    <t>(Ac) Acorazados A+</t>
  </si>
  <si>
    <t>Índico: Bombai(2), Calcuta (2), El Cabo (2)</t>
  </si>
  <si>
    <t>Bulawayo-Lusaka</t>
  </si>
  <si>
    <t>Lusaka-Kasama</t>
  </si>
  <si>
    <t>Xian-Hankow</t>
  </si>
  <si>
    <t>Caspio-Bandar Abbás</t>
  </si>
  <si>
    <t>(AM) Ametralladoras B</t>
  </si>
  <si>
    <t>(Cr) Cruceros A+</t>
  </si>
  <si>
    <t>(BM) Buques Menores A+</t>
  </si>
  <si>
    <t>15% entrenado</t>
  </si>
  <si>
    <t>8 AL Nivel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</si>
</sst>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1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8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1" fontId="0" fillId="5" borderId="12" xfId="0" applyNumberForma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5" borderId="47" xfId="0" applyFill="1" applyBorder="1" applyAlignment="1">
      <alignment horizontal="center"/>
    </xf>
    <xf numFmtId="168" fontId="0" fillId="5" borderId="13" xfId="1" applyNumberFormat="1" applyFont="1" applyFill="1" applyBorder="1"/>
    <xf numFmtId="0" fontId="0" fillId="5" borderId="48" xfId="0" applyFill="1" applyBorder="1"/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00000000-0005-0000-0000-000000000000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Normal="100" workbookViewId="0">
      <selection sqref="A1:P1"/>
    </sheetView>
  </sheetViews>
  <sheetFormatPr defaultColWidth="9.1328125" defaultRowHeight="17.649999999999999" x14ac:dyDescent="0.5"/>
  <cols>
    <col min="1" max="1" width="48.59765625" style="81" customWidth="1"/>
    <col min="2" max="2" width="12.59765625" style="81" customWidth="1"/>
    <col min="3" max="3" width="16.3984375" style="81" bestFit="1" customWidth="1"/>
    <col min="4" max="4" width="12.265625" style="81" bestFit="1" customWidth="1"/>
    <col min="5" max="5" width="12" style="81" bestFit="1" customWidth="1"/>
    <col min="6" max="6" width="21.73046875" style="81" customWidth="1"/>
    <col min="7" max="7" width="11.73046875" style="81" customWidth="1"/>
    <col min="8" max="8" width="11" style="81" customWidth="1"/>
    <col min="9" max="9" width="12.86328125" style="81" customWidth="1"/>
    <col min="10" max="10" width="10.2656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35" t="s">
        <v>224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239</v>
      </c>
      <c r="G3" s="83" t="s">
        <v>76</v>
      </c>
      <c r="H3" s="83">
        <v>1900</v>
      </c>
    </row>
    <row r="4" spans="1:19" ht="18" thickBot="1" x14ac:dyDescent="0.55000000000000004">
      <c r="A4" s="83" t="s">
        <v>62</v>
      </c>
      <c r="B4" s="83">
        <v>34.6</v>
      </c>
      <c r="C4" s="84" t="s">
        <v>331</v>
      </c>
      <c r="G4" s="83" t="s">
        <v>77</v>
      </c>
      <c r="H4" s="83" t="s">
        <v>336</v>
      </c>
    </row>
    <row r="5" spans="1:19" ht="18" thickBot="1" x14ac:dyDescent="0.55000000000000004">
      <c r="A5" s="83" t="s">
        <v>63</v>
      </c>
      <c r="B5" s="85">
        <f>B4-Militar!P12</f>
        <v>28.39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32" t="s">
        <v>65</v>
      </c>
      <c r="B7" s="234"/>
      <c r="E7" s="216"/>
      <c r="F7" s="184"/>
      <c r="G7" s="232" t="s">
        <v>78</v>
      </c>
      <c r="H7" s="234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269.70499999999998</v>
      </c>
      <c r="C8" s="87"/>
      <c r="E8" s="216"/>
      <c r="G8" s="237" t="s">
        <v>79</v>
      </c>
      <c r="H8" s="237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377</v>
      </c>
      <c r="C9" s="87"/>
      <c r="D9" s="214"/>
      <c r="E9" s="216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65</v>
      </c>
      <c r="D10" s="214"/>
      <c r="E10" s="216"/>
    </row>
    <row r="11" spans="1:19" ht="18" thickBot="1" x14ac:dyDescent="0.55000000000000004">
      <c r="A11" s="83" t="s">
        <v>75</v>
      </c>
      <c r="B11" s="86">
        <f>Militar!O12</f>
        <v>200</v>
      </c>
      <c r="D11" s="214"/>
      <c r="E11" s="216"/>
      <c r="J11" s="89"/>
      <c r="K11" s="238"/>
    </row>
    <row r="12" spans="1:19" ht="19.5" customHeight="1" thickBot="1" x14ac:dyDescent="0.55000000000000004">
      <c r="A12" s="89"/>
      <c r="B12" s="90"/>
      <c r="C12" s="89"/>
      <c r="D12" s="238"/>
      <c r="G12" s="236"/>
      <c r="H12" s="236"/>
      <c r="I12" s="91"/>
      <c r="J12" s="83" t="s">
        <v>81</v>
      </c>
      <c r="K12" s="238"/>
    </row>
    <row r="13" spans="1:19" ht="18" thickBot="1" x14ac:dyDescent="0.55000000000000004">
      <c r="A13" s="89"/>
      <c r="B13" s="90"/>
      <c r="C13" s="89"/>
      <c r="D13" s="238"/>
      <c r="G13" s="237" t="s">
        <v>80</v>
      </c>
      <c r="H13" s="237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511.70499999999993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35" t="s">
        <v>226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39" t="s">
        <v>86</v>
      </c>
      <c r="J20" s="239"/>
      <c r="K20" s="239"/>
      <c r="L20" s="239"/>
      <c r="M20" s="239"/>
      <c r="N20" s="239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6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39" t="s">
        <v>89</v>
      </c>
      <c r="L21" s="239"/>
      <c r="M21" s="239" t="s">
        <v>90</v>
      </c>
      <c r="N21" s="239"/>
    </row>
    <row r="22" spans="1:17" ht="18.399999999999999" thickTop="1" thickBot="1" x14ac:dyDescent="0.55000000000000004">
      <c r="A22" s="83" t="s">
        <v>83</v>
      </c>
      <c r="B22" s="83">
        <v>11</v>
      </c>
      <c r="C22" s="83">
        <v>0</v>
      </c>
      <c r="D22" s="83">
        <v>6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35</v>
      </c>
      <c r="C23" s="83">
        <f t="shared" ref="C23:G23" si="0">SUM(C21:C22)</f>
        <v>6</v>
      </c>
      <c r="D23" s="83">
        <f t="shared" si="0"/>
        <v>10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28</v>
      </c>
      <c r="K23" s="95">
        <f>J23+(J23*0.3)</f>
        <v>36.4</v>
      </c>
      <c r="L23" s="95">
        <f>J23-(J23*0.3)</f>
        <v>19.600000000000001</v>
      </c>
      <c r="M23" s="95">
        <f>J23-(J23*0.2)</f>
        <v>22.4</v>
      </c>
      <c r="N23" s="95">
        <f>J23+(J23*0.2)</f>
        <v>33.6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6.290909090909091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-6.290909090909091</v>
      </c>
      <c r="C25" s="98">
        <f>C21-C24</f>
        <v>-10</v>
      </c>
      <c r="D25" s="99">
        <f>D23</f>
        <v>10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12</v>
      </c>
      <c r="K25" s="95">
        <f t="shared" si="1"/>
        <v>15.6</v>
      </c>
      <c r="L25" s="95">
        <f t="shared" si="2"/>
        <v>8.4</v>
      </c>
      <c r="M25" s="95">
        <f t="shared" si="3"/>
        <v>9.6</v>
      </c>
      <c r="N25" s="95">
        <f t="shared" si="4"/>
        <v>14.4</v>
      </c>
    </row>
    <row r="26" spans="1:17" ht="18.399999999999999" thickTop="1" thickBot="1" x14ac:dyDescent="0.55000000000000004">
      <c r="A26" s="102" t="s">
        <v>332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352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337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40" t="s">
        <v>98</v>
      </c>
      <c r="P29" s="240"/>
      <c r="Q29" s="240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8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22</v>
      </c>
      <c r="C33" s="83">
        <f>Colonias!L7</f>
        <v>0</v>
      </c>
      <c r="D33" s="83">
        <f>Colonias!M7</f>
        <v>1</v>
      </c>
      <c r="E33" s="83">
        <f>Colonias!N7</f>
        <v>1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0</v>
      </c>
      <c r="C34" s="103">
        <f t="shared" ref="C34:G34" si="5">C32-K61</f>
        <v>0</v>
      </c>
      <c r="D34" s="103">
        <f t="shared" si="5"/>
        <v>0</v>
      </c>
      <c r="E34" s="103">
        <f t="shared" si="5"/>
        <v>0</v>
      </c>
      <c r="F34" s="103">
        <f t="shared" si="5"/>
        <v>0</v>
      </c>
      <c r="G34" s="103">
        <f t="shared" si="5"/>
        <v>0</v>
      </c>
      <c r="H34" s="88" t="s">
        <v>216</v>
      </c>
    </row>
    <row r="35" spans="1:16" ht="18" thickBot="1" x14ac:dyDescent="0.55000000000000004">
      <c r="A35" s="83" t="s">
        <v>105</v>
      </c>
      <c r="B35" s="103">
        <f>B33-B61</f>
        <v>0</v>
      </c>
      <c r="C35" s="103">
        <f t="shared" ref="C35:G35" si="6">C33-C61</f>
        <v>0</v>
      </c>
      <c r="D35" s="103">
        <f t="shared" si="6"/>
        <v>0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35" t="s">
        <v>225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</row>
    <row r="38" spans="1:16" ht="18" thickBot="1" x14ac:dyDescent="0.55000000000000004"/>
    <row r="39" spans="1:16" ht="18" thickBot="1" x14ac:dyDescent="0.55000000000000004">
      <c r="B39" s="232" t="s">
        <v>109</v>
      </c>
      <c r="C39" s="233"/>
      <c r="D39" s="234"/>
      <c r="J39" s="232" t="s">
        <v>110</v>
      </c>
      <c r="K39" s="233"/>
      <c r="L39" s="233"/>
      <c r="M39" s="234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349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350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/>
      <c r="L42" s="143">
        <v>1</v>
      </c>
      <c r="M42" s="143"/>
      <c r="N42" s="143"/>
      <c r="O42" s="143"/>
      <c r="P42" s="143"/>
    </row>
    <row r="43" spans="1:16" x14ac:dyDescent="0.5">
      <c r="A43" s="189" t="s">
        <v>351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341</v>
      </c>
      <c r="B44" s="143">
        <v>3</v>
      </c>
      <c r="C44" s="143">
        <v>1</v>
      </c>
      <c r="D44" s="143"/>
      <c r="E44" s="143">
        <v>1</v>
      </c>
      <c r="F44" s="143"/>
      <c r="G44" s="143"/>
      <c r="H44" s="144">
        <v>20</v>
      </c>
      <c r="J44" s="143"/>
      <c r="K44" s="143"/>
      <c r="L44" s="143">
        <v>2</v>
      </c>
      <c r="M44" s="143"/>
      <c r="N44" s="143"/>
      <c r="O44" s="143"/>
      <c r="P44" s="143">
        <v>106</v>
      </c>
    </row>
    <row r="45" spans="1:16" x14ac:dyDescent="0.5">
      <c r="A45" s="189" t="s">
        <v>345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/>
      <c r="M45" s="143"/>
      <c r="N45" s="143"/>
      <c r="O45" s="143">
        <v>1</v>
      </c>
      <c r="P45" s="143"/>
    </row>
    <row r="46" spans="1:16" x14ac:dyDescent="0.5">
      <c r="A46" s="189" t="s">
        <v>344</v>
      </c>
      <c r="B46" s="143"/>
      <c r="C46" s="143"/>
      <c r="D46" s="143"/>
      <c r="E46" s="143"/>
      <c r="F46" s="143"/>
      <c r="G46" s="143"/>
      <c r="H46" s="144">
        <v>30</v>
      </c>
      <c r="J46" s="143"/>
      <c r="K46" s="143">
        <v>2</v>
      </c>
      <c r="L46" s="143">
        <v>2</v>
      </c>
      <c r="M46" s="143"/>
      <c r="N46" s="143"/>
      <c r="O46" s="143"/>
      <c r="P46" s="143"/>
    </row>
    <row r="47" spans="1:16" x14ac:dyDescent="0.5">
      <c r="A47" s="189" t="s">
        <v>346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12</v>
      </c>
    </row>
    <row r="48" spans="1:16" s="212" customFormat="1" x14ac:dyDescent="0.5">
      <c r="A48" s="189" t="s">
        <v>347</v>
      </c>
      <c r="B48" s="143">
        <v>1</v>
      </c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>
        <v>28</v>
      </c>
    </row>
    <row r="49" spans="1:17" s="212" customFormat="1" x14ac:dyDescent="0.5">
      <c r="A49" s="189" t="s">
        <v>348</v>
      </c>
      <c r="B49" s="143">
        <v>2</v>
      </c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>
        <v>56</v>
      </c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>
        <v>22</v>
      </c>
      <c r="C61" s="143"/>
      <c r="D61" s="143">
        <v>1</v>
      </c>
      <c r="E61" s="143">
        <v>1</v>
      </c>
      <c r="F61" s="143"/>
      <c r="G61" s="143"/>
      <c r="H61" s="103">
        <f>-((J61*M23)+(K61*M24)+(L61*M26)+(M61*M25)+(N61*M27)+(O61*M28))</f>
        <v>-315.2</v>
      </c>
      <c r="J61" s="143">
        <v>1</v>
      </c>
      <c r="K61" s="143">
        <v>7</v>
      </c>
      <c r="L61" s="143">
        <v>14</v>
      </c>
      <c r="M61" s="143">
        <v>8</v>
      </c>
      <c r="N61" s="143">
        <v>4</v>
      </c>
      <c r="O61" s="143">
        <v>2</v>
      </c>
      <c r="P61" s="103">
        <f>(B61*N23)+(C61*N24)+(D61*N26)+(E61*N25)+(F61*N27)+(G61*N28)</f>
        <v>765.6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>
        <v>2</v>
      </c>
      <c r="G62" s="143"/>
      <c r="H62" s="103">
        <f>-((J62*K23)+(K62*K24)+(L62*K26)+(M62*K25)+(N62*K27)+(O62*K28))</f>
        <v>-13</v>
      </c>
      <c r="J62" s="143"/>
      <c r="K62" s="143"/>
      <c r="L62" s="143">
        <v>1</v>
      </c>
      <c r="M62" s="143"/>
      <c r="N62" s="143"/>
      <c r="O62" s="143"/>
      <c r="P62" s="103">
        <f>-((B62*L23)+(C62*L24)+(D62*L26)+(E62*L25)+(F62*L27)+(G62*L28))</f>
        <v>-14</v>
      </c>
    </row>
    <row r="63" spans="1:17" ht="18" thickBot="1" x14ac:dyDescent="0.55000000000000004">
      <c r="A63" s="83" t="s">
        <v>2</v>
      </c>
      <c r="B63" s="103">
        <f t="shared" ref="B63:G63" si="7">SUM(B41:B62)</f>
        <v>28</v>
      </c>
      <c r="C63" s="103">
        <f t="shared" si="7"/>
        <v>1</v>
      </c>
      <c r="D63" s="103">
        <f t="shared" si="7"/>
        <v>1</v>
      </c>
      <c r="E63" s="103">
        <f t="shared" si="7"/>
        <v>3</v>
      </c>
      <c r="F63" s="103">
        <f t="shared" si="7"/>
        <v>2</v>
      </c>
      <c r="G63" s="103">
        <f t="shared" si="7"/>
        <v>0</v>
      </c>
      <c r="H63" s="108">
        <f>SUM(H61:H62)-SUM(H41:H60)</f>
        <v>-418.2</v>
      </c>
      <c r="I63" s="83" t="s">
        <v>2</v>
      </c>
      <c r="J63" s="103">
        <f t="shared" ref="J63:O63" si="8">SUM(J41:J62)</f>
        <v>1</v>
      </c>
      <c r="K63" s="103">
        <f t="shared" si="8"/>
        <v>11</v>
      </c>
      <c r="L63" s="103">
        <f t="shared" si="8"/>
        <v>20</v>
      </c>
      <c r="M63" s="103">
        <f t="shared" si="8"/>
        <v>8</v>
      </c>
      <c r="N63" s="103">
        <f t="shared" si="8"/>
        <v>4</v>
      </c>
      <c r="O63" s="103">
        <f t="shared" si="8"/>
        <v>3</v>
      </c>
      <c r="P63" s="108">
        <f xml:space="preserve"> SUM(P41:P61)-P62</f>
        <v>981.6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Colonias!D73</f>
        <v>0</v>
      </c>
      <c r="C65" s="83">
        <f>Colonias!E73</f>
        <v>0</v>
      </c>
      <c r="D65" s="83">
        <f>Colonias!F73</f>
        <v>0</v>
      </c>
      <c r="E65" s="83">
        <f>Colonias!G73</f>
        <v>0</v>
      </c>
      <c r="F65" s="83">
        <f>Colonias!H73</f>
        <v>0</v>
      </c>
      <c r="G65" s="83">
        <f>Colonias!I73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-33.290909090909089</v>
      </c>
      <c r="C66" s="96">
        <f t="shared" si="9"/>
        <v>0</v>
      </c>
      <c r="D66" s="96">
        <f t="shared" si="9"/>
        <v>29</v>
      </c>
      <c r="E66" s="96">
        <f t="shared" si="9"/>
        <v>5</v>
      </c>
      <c r="F66" s="96">
        <f t="shared" si="9"/>
        <v>5</v>
      </c>
      <c r="G66" s="96">
        <f t="shared" si="9"/>
        <v>5</v>
      </c>
      <c r="H66" s="111">
        <f>B15+H63+P63</f>
        <v>1075.105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-33.290909090909089</v>
      </c>
      <c r="C74" s="96">
        <f>C66</f>
        <v>0</v>
      </c>
      <c r="D74" s="96">
        <f>D66-D70</f>
        <v>29</v>
      </c>
      <c r="E74" s="96">
        <f>E73+E66</f>
        <v>5</v>
      </c>
      <c r="F74" s="96">
        <f>F66-F71-F72</f>
        <v>5</v>
      </c>
      <c r="G74" s="96">
        <f>G66-G71-G72</f>
        <v>5</v>
      </c>
      <c r="H74" s="111">
        <f>H66-H73</f>
        <v>1075.105</v>
      </c>
      <c r="I74" s="83">
        <f>B23-I70-I71-I72-I73</f>
        <v>35</v>
      </c>
    </row>
    <row r="76" spans="1:16" x14ac:dyDescent="0.5">
      <c r="A76" s="235" t="s">
        <v>137</v>
      </c>
      <c r="B76" s="235"/>
      <c r="C76" s="235"/>
      <c r="D76" s="235"/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</row>
    <row r="78" spans="1:16" ht="18" thickBot="1" x14ac:dyDescent="0.55000000000000004">
      <c r="A78" s="113" t="s">
        <v>231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52" t="s">
        <v>127</v>
      </c>
      <c r="B79" s="252" t="s">
        <v>117</v>
      </c>
      <c r="C79" s="252" t="s">
        <v>238</v>
      </c>
      <c r="D79" s="252" t="s">
        <v>126</v>
      </c>
      <c r="E79" s="241" t="s">
        <v>119</v>
      </c>
      <c r="F79" s="241" t="s">
        <v>118</v>
      </c>
      <c r="G79" s="245" t="s">
        <v>117</v>
      </c>
      <c r="H79" s="245" t="s">
        <v>121</v>
      </c>
    </row>
    <row r="80" spans="1:16" ht="18" thickBot="1" x14ac:dyDescent="0.55000000000000004">
      <c r="A80" s="253"/>
      <c r="B80" s="253"/>
      <c r="C80" s="253"/>
      <c r="D80" s="253"/>
      <c r="E80" s="242"/>
      <c r="F80" s="242"/>
      <c r="G80" s="246"/>
      <c r="H80" s="246"/>
    </row>
    <row r="81" spans="1:11" ht="18" thickBot="1" x14ac:dyDescent="0.55000000000000004">
      <c r="A81" s="83" t="s">
        <v>135</v>
      </c>
      <c r="B81" s="186">
        <v>100</v>
      </c>
      <c r="C81" s="92">
        <v>0.33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11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  <c r="K82" s="228"/>
    </row>
    <row r="83" spans="1:11" s="147" customFormat="1" ht="18" thickBot="1" x14ac:dyDescent="0.55000000000000004">
      <c r="A83" s="146" t="s">
        <v>96</v>
      </c>
      <c r="B83" s="186">
        <v>65</v>
      </c>
      <c r="C83" s="92">
        <v>0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  <c r="K83" s="228"/>
    </row>
    <row r="84" spans="1:11" ht="18" thickBot="1" x14ac:dyDescent="0.55000000000000004">
      <c r="A84" s="146" t="s">
        <v>99</v>
      </c>
      <c r="B84" s="86">
        <v>65</v>
      </c>
      <c r="C84" s="92">
        <v>0.33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  <c r="K84" s="228"/>
    </row>
    <row r="85" spans="1:11" ht="18" thickBot="1" x14ac:dyDescent="0.55000000000000004">
      <c r="A85" s="142"/>
      <c r="B85" s="86" t="str">
        <f>IF(A85="","",VLOOKUP(A85,Colonias!$B$40:$E$63,4,FALSE))</f>
        <v/>
      </c>
      <c r="C85" s="92">
        <f>IF(A85="",0,VLOOKUP(A85,Colonias!$B$40:$F$63,5,FALSE))</f>
        <v>0</v>
      </c>
      <c r="D85" s="190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IF(A85="","No",VLOOKUP(A85,Colonias!$B$40:$G$63,6,FALSE))</f>
        <v>No</v>
      </c>
      <c r="I85" s="84"/>
      <c r="J85" s="223"/>
      <c r="K85" s="228"/>
    </row>
    <row r="86" spans="1:11" ht="18" thickBot="1" x14ac:dyDescent="0.55000000000000004">
      <c r="A86" s="189"/>
      <c r="B86" s="186" t="str">
        <f>IF(A86="","",VLOOKUP(A86,Colonias!$B$40:$E$63,4,FALSE))</f>
        <v/>
      </c>
      <c r="C86" s="188">
        <f>IF(A86="",0,VLOOKUP(A86,Colonias!$B$40:$F$63,5,FALSE))</f>
        <v>0</v>
      </c>
      <c r="D86" s="190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IF(A86="","No",VLOOKUP(A86,Colonias!$B$40:$G$63,6,FALSE))</f>
        <v>No</v>
      </c>
      <c r="I86" s="84"/>
      <c r="J86" s="223"/>
      <c r="K86" s="228"/>
    </row>
    <row r="87" spans="1:11" ht="18" thickBot="1" x14ac:dyDescent="0.55000000000000004">
      <c r="A87" s="189"/>
      <c r="B87" s="186" t="str">
        <f>IF(A87="","",VLOOKUP(A87,Colonias!$B$40:$E$63,4,FALSE))</f>
        <v/>
      </c>
      <c r="C87" s="188">
        <f>IF(A87="",0,VLOOKUP(A87,Colonias!$B$40:$F$63,5,FALSE))</f>
        <v>0</v>
      </c>
      <c r="D87" s="190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IF(A87="","No",VLOOKUP(A87,Colonias!$B$40:$G$63,6,FALSE))</f>
        <v>No</v>
      </c>
      <c r="I87" s="84"/>
      <c r="J87" s="223"/>
      <c r="K87" s="228"/>
    </row>
    <row r="88" spans="1:11" ht="18" thickBot="1" x14ac:dyDescent="0.55000000000000004">
      <c r="A88" s="189"/>
      <c r="B88" s="186" t="str">
        <f>IF(A88="","",VLOOKUP(A88,Colonias!$B$40:$E$63,4,FALSE))</f>
        <v/>
      </c>
      <c r="C88" s="188">
        <f>IF(A88="",0,VLOOKUP(A88,Colonias!$B$40:$F$63,5,FALSE))</f>
        <v>0</v>
      </c>
      <c r="D88" s="190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IF(A88="","No",VLOOKUP(A88,Colonias!$B$40:$G$63,6,FALSE))</f>
        <v>No</v>
      </c>
      <c r="I88" s="84"/>
      <c r="J88" s="223"/>
      <c r="K88" s="228"/>
    </row>
    <row r="89" spans="1:11" ht="18" thickBot="1" x14ac:dyDescent="0.55000000000000004">
      <c r="A89" s="189"/>
      <c r="B89" s="186" t="str">
        <f>IF(A89="","",VLOOKUP(A89,Colonias!$B$40:$E$63,4,FALSE))</f>
        <v/>
      </c>
      <c r="C89" s="188">
        <f>IF(A89="",0,VLOOKUP(A89,Colonias!$B$40:$F$63,5,FALSE))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IF(A89="","No",VLOOKUP(A89,Colonias!$B$40:$G$63,6,FALSE))</f>
        <v>No</v>
      </c>
      <c r="I89" s="84"/>
      <c r="J89" s="223"/>
    </row>
    <row r="90" spans="1:11" ht="18" thickBot="1" x14ac:dyDescent="0.55000000000000004">
      <c r="B90" s="87"/>
      <c r="F90" s="116" t="s">
        <v>2</v>
      </c>
      <c r="G90" s="117">
        <f>SUM(G81:G89)</f>
        <v>0</v>
      </c>
    </row>
    <row r="91" spans="1:11" ht="18" thickBot="1" x14ac:dyDescent="0.55000000000000004">
      <c r="A91" s="118" t="s">
        <v>232</v>
      </c>
      <c r="B91" s="87"/>
      <c r="F91" s="89"/>
      <c r="G91" s="90"/>
    </row>
    <row r="92" spans="1:11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11" ht="18" thickBot="1" x14ac:dyDescent="0.55000000000000004">
      <c r="A93" s="142"/>
      <c r="B93" s="86" t="str">
        <f>IF(A93="","",VLOOKUP(A93,Ferrocarriles!$G$5:$I$18,2,FALSE))</f>
        <v/>
      </c>
      <c r="C93" s="83" t="str">
        <f>IF(A93="","",VLOOKUP(A93,Ferrocarriles!$G$5:$I$18,3,FALSE))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11" ht="18" thickBot="1" x14ac:dyDescent="0.55000000000000004">
      <c r="A94" s="189"/>
      <c r="B94" s="186" t="str">
        <f>IF(A94="","",VLOOKUP(A94,Ferrocarriles!$G$5:$I$18,2,FALSE))</f>
        <v/>
      </c>
      <c r="C94" s="227" t="str">
        <f>IF(A94="","",VLOOKUP(A94,Ferrocarriles!$G$5:$I$18,3,FALSE))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11" ht="18" thickBot="1" x14ac:dyDescent="0.55000000000000004">
      <c r="A95" s="189"/>
      <c r="B95" s="186" t="str">
        <f>IF(A95="","",VLOOKUP(A95,Ferrocarriles!$G$5:$I$18,2,FALSE))</f>
        <v/>
      </c>
      <c r="C95" s="227" t="str">
        <f>IF(A95="","",VLOOKUP(A95,Ferrocarriles!$G$5:$I$18,3,FALSE))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11" ht="18" thickBot="1" x14ac:dyDescent="0.55000000000000004">
      <c r="A96" s="189"/>
      <c r="B96" s="186" t="str">
        <f>IF(A96="","",VLOOKUP(A96,Ferrocarriles!$G$5:$I$18,2,FALSE))</f>
        <v/>
      </c>
      <c r="C96" s="227" t="str">
        <f>IF(A96="","",VLOOKUP(A96,Ferrocarriles!$G$5:$I$18,3,FALSE))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233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230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355</v>
      </c>
      <c r="B111" s="86">
        <v>30</v>
      </c>
      <c r="C111" s="92">
        <v>0.2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  <c r="K111" s="223"/>
    </row>
    <row r="112" spans="1:12" ht="18" thickBot="1" x14ac:dyDescent="0.55000000000000004">
      <c r="A112" s="83" t="s">
        <v>363</v>
      </c>
      <c r="B112" s="86">
        <v>30</v>
      </c>
      <c r="C112" s="92">
        <v>0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  <c r="H112" s="223"/>
      <c r="I112" s="228"/>
      <c r="K112" s="223"/>
    </row>
    <row r="113" spans="1:11" ht="18" thickBot="1" x14ac:dyDescent="0.55000000000000004">
      <c r="A113" s="83" t="s">
        <v>343</v>
      </c>
      <c r="B113" s="86">
        <v>30</v>
      </c>
      <c r="C113" s="92">
        <v>0.2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  <c r="H113" s="223"/>
      <c r="I113" s="228"/>
      <c r="K113" s="223"/>
    </row>
    <row r="114" spans="1:11" ht="18" thickBot="1" x14ac:dyDescent="0.55000000000000004">
      <c r="A114" s="83" t="s">
        <v>356</v>
      </c>
      <c r="B114" s="86">
        <v>30</v>
      </c>
      <c r="C114" s="92">
        <v>0.2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  <c r="H114" s="223"/>
      <c r="I114" s="228"/>
      <c r="K114" s="223"/>
    </row>
    <row r="115" spans="1:11" ht="18" thickBot="1" x14ac:dyDescent="0.55000000000000004">
      <c r="A115" s="83" t="s">
        <v>357</v>
      </c>
      <c r="B115" s="86">
        <v>60</v>
      </c>
      <c r="C115" s="92">
        <v>0.2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  <c r="H115" s="223"/>
      <c r="I115" s="228"/>
      <c r="K115" s="223"/>
    </row>
    <row r="116" spans="1:11" ht="18" thickBot="1" x14ac:dyDescent="0.55000000000000004">
      <c r="A116" s="83" t="s">
        <v>364</v>
      </c>
      <c r="B116" s="86">
        <v>60</v>
      </c>
      <c r="C116" s="92">
        <v>0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H116" s="223"/>
      <c r="I116" s="228"/>
      <c r="J116" s="209"/>
      <c r="K116" s="223"/>
    </row>
    <row r="117" spans="1:11" ht="18" thickBot="1" x14ac:dyDescent="0.55000000000000004">
      <c r="A117" s="83" t="s">
        <v>365</v>
      </c>
      <c r="B117" s="86">
        <v>60</v>
      </c>
      <c r="C117" s="92">
        <v>0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H117" s="223"/>
      <c r="I117" s="228"/>
      <c r="K117" s="223"/>
    </row>
    <row r="118" spans="1:11" ht="18" thickBot="1" x14ac:dyDescent="0.55000000000000004">
      <c r="A118" s="83" t="s">
        <v>152</v>
      </c>
      <c r="B118" s="86">
        <v>40</v>
      </c>
      <c r="C118" s="92">
        <v>0.2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  <c r="H118" s="223"/>
      <c r="K118" s="223"/>
    </row>
    <row r="119" spans="1:11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1" ht="18" thickBot="1" x14ac:dyDescent="0.55000000000000004">
      <c r="E120" s="123" t="s">
        <v>2</v>
      </c>
      <c r="F120" s="124">
        <f>SUM(F111:F118)</f>
        <v>0</v>
      </c>
      <c r="G120" s="84"/>
    </row>
    <row r="121" spans="1:11" ht="18" thickBot="1" x14ac:dyDescent="0.55000000000000004">
      <c r="D121" s="83"/>
      <c r="E121" s="125" t="s">
        <v>136</v>
      </c>
      <c r="F121" s="111">
        <f>H74-G90-F106-F120-F97</f>
        <v>1075.105</v>
      </c>
    </row>
    <row r="123" spans="1:11" ht="18" thickBot="1" x14ac:dyDescent="0.55000000000000004">
      <c r="A123" s="113" t="s">
        <v>234</v>
      </c>
      <c r="B123" s="114"/>
      <c r="C123" s="114"/>
      <c r="D123" s="114"/>
      <c r="E123" s="114"/>
      <c r="F123" s="114"/>
      <c r="G123" s="114"/>
      <c r="H123" s="114"/>
      <c r="I123" s="114"/>
    </row>
    <row r="124" spans="1:11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1075.105</v>
      </c>
    </row>
    <row r="125" spans="1:11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1" ht="18" thickBot="1" x14ac:dyDescent="0.55000000000000004">
      <c r="B126" s="81" t="s">
        <v>124</v>
      </c>
    </row>
    <row r="127" spans="1:11" ht="18" thickBot="1" x14ac:dyDescent="0.55000000000000004">
      <c r="A127" s="83" t="s">
        <v>139</v>
      </c>
      <c r="B127" s="152">
        <v>0</v>
      </c>
    </row>
    <row r="128" spans="1:11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47" t="s">
        <v>151</v>
      </c>
      <c r="L133" s="243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48"/>
      <c r="L134" s="244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158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36"/>
      <c r="B143" s="236"/>
      <c r="C143" s="130"/>
      <c r="D143" s="83" t="s">
        <v>153</v>
      </c>
      <c r="E143" s="83" t="s">
        <v>154</v>
      </c>
      <c r="F143" s="83" t="s">
        <v>155</v>
      </c>
      <c r="G143" s="83" t="s">
        <v>156</v>
      </c>
      <c r="H143" s="83" t="s">
        <v>117</v>
      </c>
      <c r="I143" s="83" t="s">
        <v>157</v>
      </c>
    </row>
    <row r="144" spans="1:13" ht="18" thickBot="1" x14ac:dyDescent="0.55000000000000004">
      <c r="A144" s="236"/>
      <c r="B144" s="236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159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47" t="s">
        <v>163</v>
      </c>
      <c r="G151" s="131"/>
    </row>
    <row r="152" spans="1:9" ht="18" thickBot="1" x14ac:dyDescent="0.55000000000000004">
      <c r="A152" s="128" t="s">
        <v>160</v>
      </c>
      <c r="B152" s="129" t="s">
        <v>161</v>
      </c>
      <c r="C152" s="129" t="s">
        <v>123</v>
      </c>
      <c r="D152" s="129" t="s">
        <v>162</v>
      </c>
      <c r="E152" s="129" t="s">
        <v>148</v>
      </c>
      <c r="F152" s="248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47"/>
      <c r="G162" s="131"/>
    </row>
    <row r="163" spans="1:7" ht="18" thickBot="1" x14ac:dyDescent="0.55000000000000004">
      <c r="A163" s="128" t="s">
        <v>170</v>
      </c>
      <c r="B163" s="129" t="s">
        <v>148</v>
      </c>
      <c r="C163" s="129" t="s">
        <v>162</v>
      </c>
      <c r="D163" s="136" t="s">
        <v>171</v>
      </c>
      <c r="E163" s="129"/>
      <c r="F163" s="248"/>
      <c r="G163" s="132"/>
    </row>
    <row r="164" spans="1:7" ht="18" thickBot="1" x14ac:dyDescent="0.55000000000000004">
      <c r="A164" s="83"/>
      <c r="B164" s="83"/>
      <c r="C164" s="83"/>
      <c r="D164" s="83"/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172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174</v>
      </c>
      <c r="B171" s="139" t="s">
        <v>173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175</v>
      </c>
    </row>
    <row r="181" spans="1:14" ht="18" thickBot="1" x14ac:dyDescent="0.55000000000000004">
      <c r="A181" s="232" t="s">
        <v>176</v>
      </c>
      <c r="B181" s="233"/>
      <c r="C181" s="233"/>
      <c r="D181" s="233"/>
      <c r="E181" s="233"/>
      <c r="F181" s="234"/>
      <c r="G181" s="140" t="s">
        <v>177</v>
      </c>
      <c r="N181" s="141"/>
    </row>
    <row r="182" spans="1:14" ht="19.5" customHeight="1" thickBot="1" x14ac:dyDescent="0.55000000000000004">
      <c r="A182" s="249"/>
      <c r="B182" s="250"/>
      <c r="C182" s="250"/>
      <c r="D182" s="250"/>
      <c r="E182" s="250"/>
      <c r="F182" s="251"/>
      <c r="G182" s="155"/>
    </row>
    <row r="183" spans="1:14" ht="18" thickBot="1" x14ac:dyDescent="0.55000000000000004">
      <c r="A183" s="249"/>
      <c r="B183" s="250"/>
      <c r="C183" s="250"/>
      <c r="D183" s="250"/>
      <c r="E183" s="250"/>
      <c r="F183" s="251"/>
      <c r="G183" s="155"/>
    </row>
    <row r="184" spans="1:14" ht="19.5" customHeight="1" thickBot="1" x14ac:dyDescent="0.55000000000000004">
      <c r="A184" s="249"/>
      <c r="B184" s="250"/>
      <c r="C184" s="250"/>
      <c r="D184" s="250"/>
      <c r="E184" s="250"/>
      <c r="F184" s="251"/>
      <c r="G184" s="155"/>
    </row>
    <row r="185" spans="1:14" ht="19.5" customHeight="1" thickBot="1" x14ac:dyDescent="0.55000000000000004">
      <c r="A185" s="249"/>
      <c r="B185" s="250"/>
      <c r="C185" s="250"/>
      <c r="D185" s="250"/>
      <c r="E185" s="250"/>
      <c r="F185" s="251"/>
      <c r="G185" s="155"/>
    </row>
    <row r="186" spans="1:14" ht="19.5" customHeight="1" thickBot="1" x14ac:dyDescent="0.55000000000000004">
      <c r="A186" s="249"/>
      <c r="B186" s="250"/>
      <c r="C186" s="250"/>
      <c r="D186" s="250"/>
      <c r="E186" s="250"/>
      <c r="F186" s="251"/>
      <c r="G186" s="155"/>
    </row>
    <row r="187" spans="1:14" ht="19.5" customHeight="1" thickBot="1" x14ac:dyDescent="0.55000000000000004">
      <c r="A187" s="249"/>
      <c r="B187" s="250"/>
      <c r="C187" s="250"/>
      <c r="D187" s="250"/>
      <c r="E187" s="250"/>
      <c r="F187" s="251"/>
      <c r="G187" s="155"/>
    </row>
    <row r="188" spans="1:14" ht="19.5" customHeight="1" thickBot="1" x14ac:dyDescent="0.55000000000000004">
      <c r="A188" s="249"/>
      <c r="B188" s="250"/>
      <c r="C188" s="250"/>
      <c r="D188" s="250"/>
      <c r="E188" s="250"/>
      <c r="F188" s="251"/>
      <c r="G188" s="155"/>
    </row>
    <row r="189" spans="1:14" ht="19.5" customHeight="1" thickBot="1" x14ac:dyDescent="0.55000000000000004">
      <c r="A189" s="249"/>
      <c r="B189" s="250"/>
      <c r="C189" s="250"/>
      <c r="D189" s="250"/>
      <c r="E189" s="250"/>
      <c r="F189" s="251"/>
      <c r="G189" s="155"/>
    </row>
    <row r="190" spans="1:14" ht="19.5" customHeight="1" thickBot="1" x14ac:dyDescent="0.55000000000000004">
      <c r="A190" s="249"/>
      <c r="B190" s="250"/>
      <c r="C190" s="250"/>
      <c r="D190" s="250"/>
      <c r="E190" s="250"/>
      <c r="F190" s="251"/>
      <c r="G190" s="155"/>
    </row>
    <row r="191" spans="1:14" ht="19.5" customHeight="1" thickBot="1" x14ac:dyDescent="0.55000000000000004">
      <c r="A191" s="249"/>
      <c r="B191" s="250"/>
      <c r="C191" s="250"/>
      <c r="D191" s="250"/>
      <c r="E191" s="250"/>
      <c r="F191" s="251"/>
      <c r="G191" s="155"/>
    </row>
    <row r="192" spans="1:14" ht="18" thickBot="1" x14ac:dyDescent="0.55000000000000004">
      <c r="A192" s="249"/>
      <c r="B192" s="250"/>
      <c r="C192" s="250"/>
      <c r="D192" s="250"/>
      <c r="E192" s="250"/>
      <c r="F192" s="251"/>
      <c r="G192" s="155"/>
    </row>
    <row r="193" spans="1:7" ht="18" thickBot="1" x14ac:dyDescent="0.55000000000000004">
      <c r="A193" s="257"/>
      <c r="B193" s="258"/>
      <c r="C193" s="258"/>
      <c r="D193" s="258"/>
      <c r="E193" s="258"/>
      <c r="F193" s="259"/>
      <c r="G193" s="155"/>
    </row>
    <row r="194" spans="1:7" ht="18" thickBot="1" x14ac:dyDescent="0.55000000000000004">
      <c r="A194" s="249"/>
      <c r="B194" s="250"/>
      <c r="C194" s="250"/>
      <c r="D194" s="250"/>
      <c r="E194" s="250"/>
      <c r="F194" s="251"/>
      <c r="G194" s="158"/>
    </row>
    <row r="195" spans="1:7" ht="18" thickBot="1" x14ac:dyDescent="0.55000000000000004">
      <c r="A195" s="249"/>
      <c r="B195" s="250"/>
      <c r="C195" s="250"/>
      <c r="D195" s="250"/>
      <c r="E195" s="250"/>
      <c r="F195" s="251"/>
      <c r="G195" s="158"/>
    </row>
    <row r="196" spans="1:7" ht="18" thickBot="1" x14ac:dyDescent="0.55000000000000004">
      <c r="A196" s="254"/>
      <c r="B196" s="255"/>
      <c r="C196" s="255"/>
      <c r="D196" s="255"/>
      <c r="E196" s="255"/>
      <c r="F196" s="256"/>
      <c r="G196" s="158"/>
    </row>
    <row r="197" spans="1:7" ht="18" thickBot="1" x14ac:dyDescent="0.55000000000000004">
      <c r="A197" s="249"/>
      <c r="B197" s="250"/>
      <c r="C197" s="250"/>
      <c r="D197" s="250"/>
      <c r="E197" s="250"/>
      <c r="F197" s="251"/>
      <c r="G197" s="155"/>
    </row>
    <row r="198" spans="1:7" ht="18" thickBot="1" x14ac:dyDescent="0.55000000000000004">
      <c r="A198" s="249"/>
      <c r="B198" s="250"/>
      <c r="C198" s="250"/>
      <c r="D198" s="250"/>
      <c r="E198" s="250"/>
      <c r="F198" s="251"/>
      <c r="G198" s="155"/>
    </row>
    <row r="199" spans="1:7" ht="18" thickBot="1" x14ac:dyDescent="0.55000000000000004">
      <c r="A199" s="254"/>
      <c r="B199" s="255"/>
      <c r="C199" s="255"/>
      <c r="D199" s="255"/>
      <c r="E199" s="255"/>
      <c r="F199" s="256"/>
      <c r="G199" s="155"/>
    </row>
    <row r="200" spans="1:7" ht="18" thickBot="1" x14ac:dyDescent="0.55000000000000004">
      <c r="A200" s="249"/>
      <c r="B200" s="255"/>
      <c r="C200" s="255"/>
      <c r="D200" s="255"/>
      <c r="E200" s="255"/>
      <c r="F200" s="256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32" t="s">
        <v>108</v>
      </c>
      <c r="F204" s="234"/>
      <c r="G204" s="111">
        <f>E124-L139-H144-G159-G168-C176-G202</f>
        <v>1075.105</v>
      </c>
    </row>
  </sheetData>
  <sheetProtection algorithmName="SHA-512" hashValue="F1TQ1KRvSPsoWzyH66WpnH3XczCVOYCyqDgzH2rkIdmq9htVkGzmTtHduIc2OdV48oWT0IfwFSAU4tmQ5KwZ9A==" saltValue="Ai15MLAMeSLyWZiaP3N3WQ==" spinCount="100000" sheet="1" objects="1" scenarios="1"/>
  <dataConsolidate/>
  <mergeCells count="51"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  <mergeCell ref="A198:F198"/>
    <mergeCell ref="A199:F199"/>
    <mergeCell ref="A195:F195"/>
    <mergeCell ref="A196:F196"/>
    <mergeCell ref="E204:F204"/>
    <mergeCell ref="A200:F200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3000000}">
      <formula1>Econ_level</formula1>
    </dataValidation>
    <dataValidation type="list" showInputMessage="1" showErrorMessage="1" sqref="D111:D119 D81:D89" xr:uid="{00000000-0002-0000-0000-000004000000}">
      <formula1>Invest_option</formula1>
    </dataValidation>
    <dataValidation type="list" showInputMessage="1" showErrorMessage="1" sqref="B172:B175" xr:uid="{00000000-0002-0000-0000-000005000000}">
      <formula1>Mil_Buildings</formula1>
    </dataValidation>
    <dataValidation showInputMessage="1" showErrorMessage="1" sqref="H81:H89" xr:uid="{00000000-0002-0000-0000-000006000000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Colonias!$B$40:$B$63</xm:f>
          </x14:formula1>
          <xm:sqref>A85:A89</xm:sqref>
        </x14:dataValidation>
        <x14:dataValidation type="list" allowBlank="1" showInputMessage="1" showErrorMessage="1" xr:uid="{B42B7D1B-4F64-4F9F-ABE6-0C8F405CFC54}">
          <x14:formula1>
            <xm:f>Ferrocarriles!$G$5:$G$18</xm:f>
          </x14:formula1>
          <xm:sqref>A93:A96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10"/>
  <sheetViews>
    <sheetView showGridLines="0" workbookViewId="0"/>
  </sheetViews>
  <sheetFormatPr defaultColWidth="9.1328125" defaultRowHeight="15.4" x14ac:dyDescent="0.45"/>
  <cols>
    <col min="1" max="1" width="16.59765625" style="20" customWidth="1"/>
    <col min="2" max="2" width="11.86328125" style="20" customWidth="1"/>
    <col min="3" max="3" width="9.86328125" style="20" customWidth="1"/>
    <col min="4" max="5" width="9.1328125" style="20"/>
    <col min="6" max="6" width="10.73046875" style="20" customWidth="1"/>
    <col min="7" max="7" width="12.3984375" style="20" customWidth="1"/>
    <col min="8" max="8" width="10.59765625" style="20" customWidth="1"/>
    <col min="9" max="10" width="9.1328125" style="20"/>
    <col min="11" max="11" width="11.73046875" style="20" customWidth="1"/>
    <col min="12" max="12" width="10.73046875" style="20" customWidth="1"/>
    <col min="13" max="13" width="13" style="20" customWidth="1"/>
    <col min="14" max="14" width="10.597656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81" t="s">
        <v>183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</row>
    <row r="5" spans="1:20" ht="15.75" thickBot="1" x14ac:dyDescent="0.5">
      <c r="A5" s="80" t="s">
        <v>184</v>
      </c>
    </row>
    <row r="6" spans="1:20" ht="15.75" thickBot="1" x14ac:dyDescent="0.5">
      <c r="A6" s="50"/>
      <c r="B6" s="264" t="s">
        <v>153</v>
      </c>
      <c r="C6" s="264" t="s">
        <v>148</v>
      </c>
      <c r="D6" s="264" t="s">
        <v>182</v>
      </c>
      <c r="E6" s="264" t="s">
        <v>148</v>
      </c>
      <c r="F6" s="264" t="s">
        <v>147</v>
      </c>
      <c r="G6" s="264" t="s">
        <v>148</v>
      </c>
      <c r="H6" s="264" t="s">
        <v>149</v>
      </c>
      <c r="I6" s="264" t="s">
        <v>148</v>
      </c>
      <c r="J6" s="264" t="s">
        <v>150</v>
      </c>
      <c r="K6" s="279" t="s">
        <v>148</v>
      </c>
      <c r="N6" s="262" t="s">
        <v>185</v>
      </c>
      <c r="O6" s="262"/>
      <c r="P6" s="262"/>
    </row>
    <row r="7" spans="1:20" ht="15.75" thickBot="1" x14ac:dyDescent="0.5">
      <c r="A7" s="51" t="s">
        <v>174</v>
      </c>
      <c r="B7" s="265"/>
      <c r="C7" s="265"/>
      <c r="D7" s="265"/>
      <c r="E7" s="265"/>
      <c r="F7" s="265"/>
      <c r="G7" s="265"/>
      <c r="H7" s="265"/>
      <c r="I7" s="265"/>
      <c r="J7" s="265"/>
      <c r="K7" s="280"/>
      <c r="N7" s="7"/>
      <c r="O7" s="49" t="s">
        <v>117</v>
      </c>
      <c r="P7" s="49" t="s">
        <v>187</v>
      </c>
    </row>
    <row r="8" spans="1:20" ht="15.75" thickBot="1" x14ac:dyDescent="0.5">
      <c r="A8" s="174" t="s">
        <v>239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186</v>
      </c>
      <c r="O8" s="7"/>
      <c r="P8" s="52">
        <f>B37/1000000</f>
        <v>4.4000000000000004</v>
      </c>
    </row>
    <row r="9" spans="1:20" ht="15.75" thickBot="1" x14ac:dyDescent="0.5">
      <c r="A9" s="174" t="s">
        <v>241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B70</f>
        <v>91</v>
      </c>
      <c r="P9" s="49">
        <f>B71</f>
        <v>1.81</v>
      </c>
    </row>
    <row r="10" spans="1:20" ht="15.75" thickBot="1" x14ac:dyDescent="0.5">
      <c r="A10" s="174" t="s">
        <v>268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240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188</v>
      </c>
      <c r="O11" s="53">
        <f>B107</f>
        <v>109</v>
      </c>
      <c r="P11" s="7"/>
    </row>
    <row r="12" spans="1:20" ht="15.75" thickBot="1" x14ac:dyDescent="0.5">
      <c r="A12" s="174" t="s">
        <v>274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200</v>
      </c>
      <c r="P12" s="52">
        <f>P8+P9</f>
        <v>6.2100000000000009</v>
      </c>
    </row>
    <row r="13" spans="1:20" ht="15.75" thickBot="1" x14ac:dyDescent="0.5">
      <c r="A13" s="174" t="s">
        <v>278</v>
      </c>
      <c r="B13" s="174" t="s">
        <v>279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280</v>
      </c>
      <c r="B14" s="174" t="s">
        <v>279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281</v>
      </c>
      <c r="B15" s="174" t="s">
        <v>279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282</v>
      </c>
      <c r="B16" s="174" t="s">
        <v>279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60" t="s">
        <v>295</v>
      </c>
      <c r="N16" s="260"/>
      <c r="O16" s="260"/>
      <c r="P16" s="260"/>
    </row>
    <row r="17" spans="1:18" ht="15.75" thickBot="1" x14ac:dyDescent="0.5">
      <c r="A17" s="174" t="s">
        <v>283</v>
      </c>
      <c r="B17" s="174" t="s">
        <v>279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61" t="s">
        <v>286</v>
      </c>
      <c r="N17" s="261" t="s">
        <v>296</v>
      </c>
      <c r="O17" s="261" t="s">
        <v>195</v>
      </c>
      <c r="P17" s="261" t="s">
        <v>287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61"/>
      <c r="N18" s="261"/>
      <c r="O18" s="261"/>
      <c r="P18" s="261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241</v>
      </c>
      <c r="N19" s="202" t="s">
        <v>298</v>
      </c>
      <c r="O19" s="202" t="s">
        <v>299</v>
      </c>
      <c r="P19" s="203" t="s">
        <v>284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268</v>
      </c>
      <c r="N20" s="202" t="s">
        <v>288</v>
      </c>
      <c r="O20" s="202" t="s">
        <v>288</v>
      </c>
      <c r="P20" s="203" t="s">
        <v>297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289</v>
      </c>
      <c r="N21" s="202" t="s">
        <v>290</v>
      </c>
      <c r="O21" s="202" t="s">
        <v>290</v>
      </c>
      <c r="P21" s="203" t="s">
        <v>297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291</v>
      </c>
      <c r="N22" s="202" t="s">
        <v>288</v>
      </c>
      <c r="O22" s="201"/>
      <c r="P22" s="203" t="s">
        <v>284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292</v>
      </c>
      <c r="N23" s="202" t="s">
        <v>293</v>
      </c>
      <c r="O23" s="202" t="s">
        <v>294</v>
      </c>
      <c r="P23" s="203" t="s">
        <v>300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277</v>
      </c>
      <c r="N24" s="35" t="s">
        <v>290</v>
      </c>
      <c r="O24" s="15" t="s">
        <v>290</v>
      </c>
      <c r="P24" s="203" t="s">
        <v>297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6" spans="1:18" x14ac:dyDescent="0.45">
      <c r="A26" s="20" t="s">
        <v>367</v>
      </c>
    </row>
    <row r="27" spans="1:18" ht="15.75" thickBot="1" x14ac:dyDescent="0.5"/>
    <row r="28" spans="1:18" ht="16.149999999999999" thickTop="1" thickBot="1" x14ac:dyDescent="0.5">
      <c r="A28" s="55" t="s">
        <v>189</v>
      </c>
      <c r="B28" s="49" t="s">
        <v>284</v>
      </c>
      <c r="C28" s="45"/>
      <c r="D28" s="163"/>
      <c r="E28" s="161"/>
      <c r="F28" s="162" t="s">
        <v>205</v>
      </c>
      <c r="G28" s="53">
        <f>B25+D25+H25+J25</f>
        <v>27</v>
      </c>
      <c r="I28" s="55" t="s">
        <v>108</v>
      </c>
      <c r="J28" s="59">
        <f>Econ!G204</f>
        <v>1075.105</v>
      </c>
    </row>
    <row r="29" spans="1:18" ht="16.149999999999999" thickTop="1" thickBot="1" x14ac:dyDescent="0.5">
      <c r="A29" s="49" t="s">
        <v>190</v>
      </c>
      <c r="B29" s="49" t="s">
        <v>120</v>
      </c>
      <c r="G29" s="20" t="s">
        <v>366</v>
      </c>
    </row>
    <row r="30" spans="1:18" ht="15.75" thickBot="1" x14ac:dyDescent="0.5">
      <c r="A30" s="56" t="s">
        <v>191</v>
      </c>
      <c r="B30" s="57" t="s">
        <v>285</v>
      </c>
      <c r="E30" s="262" t="s">
        <v>192</v>
      </c>
      <c r="F30" s="262"/>
      <c r="G30" s="262"/>
      <c r="H30" s="262"/>
      <c r="I30" s="262"/>
      <c r="J30" s="262"/>
      <c r="K30" s="262"/>
    </row>
    <row r="31" spans="1:18" ht="15.75" thickBot="1" x14ac:dyDescent="0.5">
      <c r="A31" s="44"/>
      <c r="B31" s="44"/>
      <c r="C31" s="44"/>
      <c r="E31" s="262" t="s">
        <v>61</v>
      </c>
      <c r="F31" s="262"/>
      <c r="G31" s="262"/>
      <c r="H31" s="49" t="s">
        <v>117</v>
      </c>
      <c r="I31" s="262" t="s">
        <v>193</v>
      </c>
      <c r="J31" s="262"/>
      <c r="K31" s="262"/>
    </row>
    <row r="32" spans="1:18" ht="15.75" thickBot="1" x14ac:dyDescent="0.5">
      <c r="A32" s="44"/>
      <c r="B32" s="44"/>
      <c r="C32" s="44"/>
      <c r="E32" s="266"/>
      <c r="F32" s="267"/>
      <c r="G32" s="268"/>
      <c r="H32" s="166"/>
      <c r="I32" s="266"/>
      <c r="J32" s="267"/>
      <c r="K32" s="268"/>
      <c r="R32" s="44"/>
    </row>
    <row r="33" spans="1:16" ht="15.75" thickBot="1" x14ac:dyDescent="0.5">
      <c r="A33" s="44"/>
      <c r="E33" s="266"/>
      <c r="F33" s="267"/>
      <c r="G33" s="268"/>
      <c r="H33" s="166"/>
      <c r="I33" s="266"/>
      <c r="J33" s="267"/>
      <c r="K33" s="268"/>
    </row>
    <row r="34" spans="1:16" ht="16.149999999999999" thickTop="1" thickBot="1" x14ac:dyDescent="0.5">
      <c r="A34" s="55" t="s">
        <v>6</v>
      </c>
      <c r="B34" s="55" t="s">
        <v>157</v>
      </c>
      <c r="C34" s="20" t="s">
        <v>6</v>
      </c>
      <c r="E34" s="266"/>
      <c r="F34" s="267"/>
      <c r="G34" s="268"/>
      <c r="H34" s="166"/>
      <c r="I34" s="266"/>
      <c r="J34" s="267"/>
      <c r="K34" s="268"/>
    </row>
    <row r="35" spans="1:16" ht="16.149999999999999" thickTop="1" thickBot="1" x14ac:dyDescent="0.5">
      <c r="A35" s="55" t="s">
        <v>194</v>
      </c>
      <c r="B35" s="60">
        <f>(B25+H25+J25)*200000</f>
        <v>3400000</v>
      </c>
      <c r="E35" s="266"/>
      <c r="F35" s="267"/>
      <c r="G35" s="268"/>
      <c r="H35" s="166"/>
      <c r="I35" s="266"/>
      <c r="J35" s="267"/>
      <c r="K35" s="268"/>
    </row>
    <row r="36" spans="1:16" ht="16.149999999999999" thickTop="1" thickBot="1" x14ac:dyDescent="0.5">
      <c r="A36" s="55" t="s">
        <v>195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62" t="s">
        <v>196</v>
      </c>
      <c r="H39" s="262"/>
      <c r="I39" s="262"/>
      <c r="J39" s="26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197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198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199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235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88" t="s">
        <v>174</v>
      </c>
      <c r="B48" s="263" t="s">
        <v>200</v>
      </c>
      <c r="C48" s="263" t="s">
        <v>148</v>
      </c>
      <c r="D48" s="263" t="s">
        <v>201</v>
      </c>
      <c r="E48" s="263" t="s">
        <v>148</v>
      </c>
      <c r="F48" s="263" t="s">
        <v>202</v>
      </c>
      <c r="G48" s="263" t="s">
        <v>148</v>
      </c>
      <c r="H48" s="263" t="s">
        <v>203</v>
      </c>
      <c r="I48" s="263" t="s">
        <v>148</v>
      </c>
      <c r="J48" s="263" t="s">
        <v>167</v>
      </c>
      <c r="K48" s="263" t="s">
        <v>148</v>
      </c>
      <c r="L48" s="263" t="s">
        <v>169</v>
      </c>
    </row>
    <row r="49" spans="1:13" ht="16.149999999999999" thickTop="1" thickBot="1" x14ac:dyDescent="0.5">
      <c r="A49" s="289"/>
      <c r="B49" s="263"/>
      <c r="C49" s="263"/>
      <c r="D49" s="263"/>
      <c r="E49" s="263"/>
      <c r="F49" s="263"/>
      <c r="G49" s="263"/>
      <c r="H49" s="263"/>
      <c r="I49" s="263"/>
      <c r="J49" s="263"/>
      <c r="K49" s="263"/>
      <c r="L49" s="263"/>
    </row>
    <row r="50" spans="1:13" s="47" customFormat="1" ht="16.149999999999999" thickTop="1" thickBot="1" x14ac:dyDescent="0.5">
      <c r="A50" s="176" t="s">
        <v>301</v>
      </c>
      <c r="B50" s="177">
        <v>17</v>
      </c>
      <c r="C50" s="178" t="s">
        <v>23</v>
      </c>
      <c r="D50" s="177">
        <v>10</v>
      </c>
      <c r="E50" s="178" t="s">
        <v>22</v>
      </c>
      <c r="F50" s="181">
        <v>1</v>
      </c>
      <c r="G50" s="182" t="s">
        <v>21</v>
      </c>
      <c r="H50" s="177">
        <v>28</v>
      </c>
      <c r="I50" s="178" t="s">
        <v>21</v>
      </c>
      <c r="J50" s="177" t="s">
        <v>6</v>
      </c>
      <c r="K50" s="178" t="s">
        <v>6</v>
      </c>
      <c r="L50" s="176">
        <v>6</v>
      </c>
    </row>
    <row r="51" spans="1:13" ht="16.149999999999999" thickTop="1" thickBot="1" x14ac:dyDescent="0.5">
      <c r="A51" s="176" t="s">
        <v>317</v>
      </c>
      <c r="B51" s="179"/>
      <c r="C51" s="180"/>
      <c r="D51" s="179">
        <v>9</v>
      </c>
      <c r="E51" s="180" t="s">
        <v>23</v>
      </c>
      <c r="F51" s="179"/>
      <c r="G51" s="180"/>
      <c r="H51" s="179">
        <v>3</v>
      </c>
      <c r="I51" s="180" t="s">
        <v>22</v>
      </c>
      <c r="J51" s="179">
        <v>3</v>
      </c>
      <c r="K51" s="180" t="s">
        <v>22</v>
      </c>
      <c r="L51" s="175" t="s">
        <v>6</v>
      </c>
      <c r="M51" s="44"/>
    </row>
    <row r="52" spans="1:13" ht="16.149999999999999" thickTop="1" thickBot="1" x14ac:dyDescent="0.5">
      <c r="A52" s="176" t="s">
        <v>338</v>
      </c>
      <c r="B52" s="179">
        <v>6</v>
      </c>
      <c r="C52" s="180" t="s">
        <v>20</v>
      </c>
      <c r="D52" s="179">
        <v>3</v>
      </c>
      <c r="E52" s="180" t="s">
        <v>20</v>
      </c>
      <c r="F52" s="179"/>
      <c r="G52" s="180"/>
      <c r="H52" s="179"/>
      <c r="I52" s="180"/>
      <c r="J52" s="179"/>
      <c r="K52" s="180"/>
      <c r="L52" s="175"/>
      <c r="M52" s="44"/>
    </row>
    <row r="53" spans="1:13" ht="16.149999999999999" thickTop="1" thickBot="1" x14ac:dyDescent="0.5">
      <c r="A53" s="175" t="s">
        <v>302</v>
      </c>
      <c r="B53" s="179">
        <v>4</v>
      </c>
      <c r="C53" s="180" t="s">
        <v>23</v>
      </c>
      <c r="D53" s="179">
        <v>12</v>
      </c>
      <c r="E53" s="180" t="s">
        <v>23</v>
      </c>
      <c r="F53" s="179"/>
      <c r="G53" s="180"/>
      <c r="H53" s="179">
        <v>16</v>
      </c>
      <c r="I53" s="180" t="s">
        <v>23</v>
      </c>
      <c r="J53" s="179">
        <v>2</v>
      </c>
      <c r="K53" s="180" t="s">
        <v>23</v>
      </c>
      <c r="L53" s="175" t="s">
        <v>6</v>
      </c>
    </row>
    <row r="54" spans="1:13" ht="16.149999999999999" thickTop="1" thickBot="1" x14ac:dyDescent="0.5">
      <c r="A54" s="175" t="s">
        <v>302</v>
      </c>
      <c r="B54" s="179"/>
      <c r="C54" s="180"/>
      <c r="D54" s="179">
        <v>2</v>
      </c>
      <c r="E54" s="180" t="s">
        <v>21</v>
      </c>
      <c r="F54" s="179"/>
      <c r="G54" s="180"/>
      <c r="H54" s="179"/>
      <c r="I54" s="180"/>
      <c r="J54" s="179"/>
      <c r="K54" s="180"/>
      <c r="L54" s="175"/>
    </row>
    <row r="55" spans="1:13" ht="16.149999999999999" thickTop="1" thickBot="1" x14ac:dyDescent="0.5">
      <c r="A55" s="175" t="s">
        <v>303</v>
      </c>
      <c r="B55" s="179">
        <v>2</v>
      </c>
      <c r="C55" s="180" t="s">
        <v>23</v>
      </c>
      <c r="D55" s="179">
        <v>5</v>
      </c>
      <c r="E55" s="180" t="s">
        <v>23</v>
      </c>
      <c r="F55" s="179"/>
      <c r="G55" s="180"/>
      <c r="H55" s="179">
        <v>10</v>
      </c>
      <c r="I55" s="180" t="s">
        <v>23</v>
      </c>
      <c r="J55" s="179">
        <v>4</v>
      </c>
      <c r="K55" s="180" t="s">
        <v>23</v>
      </c>
      <c r="L55" s="175">
        <v>2</v>
      </c>
    </row>
    <row r="56" spans="1:13" ht="16.149999999999999" thickTop="1" thickBot="1" x14ac:dyDescent="0.5">
      <c r="A56" s="175" t="s">
        <v>304</v>
      </c>
      <c r="B56" s="179">
        <v>1</v>
      </c>
      <c r="C56" s="180"/>
      <c r="D56" s="179">
        <v>3</v>
      </c>
      <c r="E56" s="180" t="s">
        <v>23</v>
      </c>
      <c r="F56" s="179"/>
      <c r="G56" s="180"/>
      <c r="H56" s="179">
        <v>9</v>
      </c>
      <c r="I56" s="180" t="s">
        <v>23</v>
      </c>
      <c r="J56" s="179"/>
      <c r="K56" s="180"/>
      <c r="L56" s="175"/>
    </row>
    <row r="57" spans="1:13" ht="16.149999999999999" thickTop="1" thickBot="1" x14ac:dyDescent="0.5">
      <c r="A57" s="175" t="s">
        <v>268</v>
      </c>
      <c r="B57" s="179"/>
      <c r="C57" s="180"/>
      <c r="D57" s="179">
        <v>2</v>
      </c>
      <c r="E57" s="180" t="s">
        <v>23</v>
      </c>
      <c r="F57" s="179"/>
      <c r="G57" s="180"/>
      <c r="H57" s="179">
        <v>8</v>
      </c>
      <c r="I57" s="180" t="s">
        <v>23</v>
      </c>
      <c r="J57" s="179"/>
      <c r="K57" s="180"/>
      <c r="L57" s="175">
        <v>1</v>
      </c>
    </row>
    <row r="58" spans="1:13" ht="16.149999999999999" thickTop="1" thickBot="1" x14ac:dyDescent="0.5">
      <c r="A58" s="175" t="s">
        <v>282</v>
      </c>
      <c r="B58" s="179">
        <v>2</v>
      </c>
      <c r="C58" s="180" t="s">
        <v>23</v>
      </c>
      <c r="D58" s="179">
        <v>4</v>
      </c>
      <c r="E58" s="180" t="s">
        <v>23</v>
      </c>
      <c r="F58" s="179"/>
      <c r="G58" s="180"/>
      <c r="H58" s="179">
        <v>9</v>
      </c>
      <c r="I58" s="180" t="s">
        <v>23</v>
      </c>
      <c r="J58" s="179">
        <v>8</v>
      </c>
      <c r="K58" s="180" t="s">
        <v>23</v>
      </c>
      <c r="L58" s="175"/>
    </row>
    <row r="59" spans="1:13" s="47" customFormat="1" ht="16.149999999999999" thickTop="1" thickBot="1" x14ac:dyDescent="0.5">
      <c r="A59" s="62" t="s">
        <v>305</v>
      </c>
      <c r="B59" s="63"/>
      <c r="C59" s="64"/>
      <c r="D59" s="63">
        <v>3</v>
      </c>
      <c r="E59" s="64" t="s">
        <v>23</v>
      </c>
      <c r="F59" s="63"/>
      <c r="G59" s="64"/>
      <c r="H59" s="63">
        <v>6</v>
      </c>
      <c r="I59" s="64" t="s">
        <v>23</v>
      </c>
      <c r="J59" s="63">
        <v>2</v>
      </c>
      <c r="K59" s="64" t="s">
        <v>23</v>
      </c>
      <c r="L59" s="62"/>
    </row>
    <row r="60" spans="1:13" s="47" customFormat="1" ht="16.149999999999999" thickTop="1" thickBot="1" x14ac:dyDescent="0.5">
      <c r="A60" s="176"/>
      <c r="B60" s="177"/>
      <c r="C60" s="178"/>
      <c r="D60" s="177"/>
      <c r="E60" s="178"/>
      <c r="F60" s="177"/>
      <c r="G60" s="178"/>
      <c r="H60" s="177"/>
      <c r="I60" s="178"/>
      <c r="J60" s="177"/>
      <c r="K60" s="178"/>
      <c r="L60" s="176"/>
    </row>
    <row r="61" spans="1:13" s="47" customFormat="1" ht="16.149999999999999" thickTop="1" thickBot="1" x14ac:dyDescent="0.5">
      <c r="A61" s="176"/>
      <c r="B61" s="177"/>
      <c r="C61" s="178"/>
      <c r="D61" s="177"/>
      <c r="E61" s="178"/>
      <c r="F61" s="177"/>
      <c r="G61" s="178"/>
      <c r="H61" s="177"/>
      <c r="I61" s="178"/>
      <c r="J61" s="177"/>
      <c r="K61" s="178"/>
      <c r="L61" s="176"/>
    </row>
    <row r="62" spans="1:13" s="47" customFormat="1" ht="16.149999999999999" thickTop="1" thickBot="1" x14ac:dyDescent="0.5">
      <c r="A62" s="176"/>
      <c r="B62" s="177"/>
      <c r="C62" s="178"/>
      <c r="D62" s="177"/>
      <c r="E62" s="178"/>
      <c r="F62" s="177"/>
      <c r="G62" s="178"/>
      <c r="H62" s="177"/>
      <c r="I62" s="178"/>
      <c r="J62" s="177"/>
      <c r="K62" s="178"/>
      <c r="L62" s="176"/>
    </row>
    <row r="63" spans="1:13" ht="16.149999999999999" thickTop="1" thickBot="1" x14ac:dyDescent="0.5">
      <c r="A63" s="55"/>
      <c r="B63" s="65"/>
      <c r="C63" s="66"/>
      <c r="D63" s="65"/>
      <c r="E63" s="66"/>
      <c r="F63" s="65"/>
      <c r="G63" s="66"/>
      <c r="H63" s="65"/>
      <c r="I63" s="66"/>
      <c r="J63" s="65"/>
      <c r="K63" s="66"/>
      <c r="L63" s="55"/>
    </row>
    <row r="64" spans="1:13" ht="16.149999999999999" thickTop="1" thickBot="1" x14ac:dyDescent="0.5">
      <c r="A64" s="55" t="s">
        <v>3</v>
      </c>
      <c r="B64" s="55">
        <f>SUM(B50:B63)</f>
        <v>32</v>
      </c>
      <c r="C64" s="35"/>
      <c r="D64" s="55">
        <f>SUM(D50:D63)</f>
        <v>53</v>
      </c>
      <c r="E64" s="35"/>
      <c r="F64" s="55">
        <f>SUM(F50:F63)</f>
        <v>1</v>
      </c>
      <c r="G64" s="35"/>
      <c r="H64" s="55">
        <f>SUM(H50:H63)</f>
        <v>89</v>
      </c>
      <c r="I64" s="35"/>
      <c r="J64" s="55">
        <f>SUM(J50:J63)</f>
        <v>19</v>
      </c>
      <c r="K64" s="35"/>
      <c r="L64" s="55">
        <f>SUM(L50:L63)</f>
        <v>9</v>
      </c>
    </row>
    <row r="65" spans="1:11" ht="15.75" thickTop="1" x14ac:dyDescent="0.45"/>
    <row r="67" spans="1:11" ht="15.75" thickBot="1" x14ac:dyDescent="0.5"/>
    <row r="68" spans="1:11" ht="16.149999999999999" thickTop="1" thickBot="1" x14ac:dyDescent="0.5">
      <c r="A68" s="55" t="s">
        <v>189</v>
      </c>
      <c r="B68" s="49" t="s">
        <v>306</v>
      </c>
      <c r="E68" s="49"/>
      <c r="F68" s="58" t="s">
        <v>204</v>
      </c>
      <c r="G68" s="53">
        <f>B69*0.5</f>
        <v>181</v>
      </c>
    </row>
    <row r="69" spans="1:11" ht="16.149999999999999" thickTop="1" thickBot="1" x14ac:dyDescent="0.5">
      <c r="A69" s="55" t="s">
        <v>206</v>
      </c>
      <c r="B69" s="55">
        <f>(B64*4)+(D64*2)+(F64*2)+(H64*1)+(J64*1)+(L64*2)</f>
        <v>362</v>
      </c>
    </row>
    <row r="70" spans="1:11" ht="16.149999999999999" thickTop="1" thickBot="1" x14ac:dyDescent="0.5">
      <c r="A70" s="55" t="s">
        <v>207</v>
      </c>
      <c r="B70" s="59">
        <f>ROUNDUP((B69/20)*5,0)</f>
        <v>91</v>
      </c>
      <c r="E70" s="262" t="s">
        <v>208</v>
      </c>
      <c r="F70" s="262"/>
      <c r="G70" s="262"/>
      <c r="H70" s="262"/>
      <c r="I70" s="262"/>
      <c r="J70" s="262"/>
      <c r="K70" s="262"/>
    </row>
    <row r="71" spans="1:11" ht="16.149999999999999" thickTop="1" thickBot="1" x14ac:dyDescent="0.5">
      <c r="A71" s="55" t="s">
        <v>157</v>
      </c>
      <c r="B71" s="55">
        <f>ROUNDUP((B69/20)*0.1,2)</f>
        <v>1.81</v>
      </c>
      <c r="C71" s="20" t="s">
        <v>55</v>
      </c>
      <c r="E71" s="262" t="s">
        <v>209</v>
      </c>
      <c r="F71" s="262"/>
      <c r="G71" s="262"/>
      <c r="H71" s="49" t="s">
        <v>117</v>
      </c>
      <c r="I71" s="262" t="s">
        <v>193</v>
      </c>
      <c r="J71" s="262"/>
      <c r="K71" s="262"/>
    </row>
    <row r="72" spans="1:11" ht="15" customHeight="1" thickTop="1" thickBot="1" x14ac:dyDescent="0.5">
      <c r="E72" s="266"/>
      <c r="F72" s="267"/>
      <c r="G72" s="268"/>
      <c r="H72" s="166"/>
      <c r="I72" s="266"/>
      <c r="J72" s="267"/>
      <c r="K72" s="268"/>
    </row>
    <row r="73" spans="1:11" ht="15" customHeight="1" thickBot="1" x14ac:dyDescent="0.5">
      <c r="E73" s="266"/>
      <c r="F73" s="267"/>
      <c r="G73" s="268"/>
      <c r="H73" s="166"/>
      <c r="I73" s="266"/>
      <c r="J73" s="267"/>
      <c r="K73" s="268"/>
    </row>
    <row r="74" spans="1:11" ht="15" customHeight="1" thickBot="1" x14ac:dyDescent="0.5">
      <c r="E74" s="266"/>
      <c r="F74" s="267"/>
      <c r="G74" s="268"/>
      <c r="H74" s="166"/>
      <c r="I74" s="266"/>
      <c r="J74" s="267"/>
      <c r="K74" s="268"/>
    </row>
    <row r="75" spans="1:11" ht="15.75" thickBot="1" x14ac:dyDescent="0.5">
      <c r="E75" s="266"/>
      <c r="F75" s="267"/>
      <c r="G75" s="268"/>
      <c r="H75" s="166"/>
      <c r="I75" s="266"/>
      <c r="J75" s="267"/>
      <c r="K75" s="268"/>
    </row>
    <row r="76" spans="1:11" ht="15.75" thickBot="1" x14ac:dyDescent="0.5">
      <c r="E76" s="20" t="s">
        <v>6</v>
      </c>
      <c r="F76" s="20" t="s">
        <v>6</v>
      </c>
      <c r="G76" s="49" t="s">
        <v>41</v>
      </c>
      <c r="H76" s="49">
        <f>SUM(H72:H75)</f>
        <v>0</v>
      </c>
    </row>
    <row r="77" spans="1:11" ht="15.75" thickBot="1" x14ac:dyDescent="0.5">
      <c r="G77" s="49" t="s">
        <v>108</v>
      </c>
      <c r="H77" s="61">
        <f>J28-H36-H76</f>
        <v>1075.105</v>
      </c>
      <c r="I77" s="48"/>
    </row>
    <row r="80" spans="1:11" ht="15.75" thickBot="1" x14ac:dyDescent="0.5">
      <c r="A80" s="80" t="s">
        <v>236</v>
      </c>
    </row>
    <row r="81" spans="1:16" ht="15.75" thickBot="1" x14ac:dyDescent="0.5">
      <c r="A81" s="49" t="s">
        <v>210</v>
      </c>
      <c r="B81" s="49" t="s">
        <v>162</v>
      </c>
      <c r="C81" s="49" t="s">
        <v>117</v>
      </c>
      <c r="D81" s="275" t="s">
        <v>174</v>
      </c>
      <c r="E81" s="275"/>
      <c r="F81" s="275"/>
      <c r="G81" s="275"/>
      <c r="H81" s="275"/>
      <c r="I81" s="275"/>
      <c r="J81" s="275"/>
      <c r="K81" s="275"/>
      <c r="L81" s="275"/>
      <c r="M81" s="275"/>
      <c r="N81" s="275"/>
      <c r="O81" s="275"/>
      <c r="P81" s="275"/>
    </row>
    <row r="82" spans="1:16" ht="15.75" thickBot="1" x14ac:dyDescent="0.5">
      <c r="A82" s="49" t="s">
        <v>215</v>
      </c>
      <c r="B82" s="49">
        <v>8</v>
      </c>
      <c r="C82" s="67"/>
      <c r="D82" s="276" t="s">
        <v>307</v>
      </c>
      <c r="E82" s="277"/>
      <c r="F82" s="277"/>
      <c r="G82" s="277"/>
      <c r="H82" s="277"/>
      <c r="I82" s="277"/>
      <c r="J82" s="277"/>
      <c r="K82" s="277"/>
      <c r="L82" s="277"/>
      <c r="M82" s="277"/>
      <c r="N82" s="277"/>
      <c r="O82" s="277"/>
      <c r="P82" s="278"/>
    </row>
    <row r="83" spans="1:16" ht="15.75" thickBot="1" x14ac:dyDescent="0.5">
      <c r="A83" s="49" t="s">
        <v>211</v>
      </c>
      <c r="B83" s="49">
        <v>35</v>
      </c>
      <c r="C83" s="68">
        <f>B83</f>
        <v>35</v>
      </c>
      <c r="D83" s="192" t="s">
        <v>308</v>
      </c>
      <c r="E83" s="193"/>
      <c r="F83" s="193"/>
      <c r="G83" s="193"/>
      <c r="H83" s="193"/>
      <c r="I83" s="193"/>
      <c r="J83" s="193"/>
      <c r="K83" s="193"/>
      <c r="L83" s="193"/>
      <c r="M83" s="193"/>
      <c r="N83" s="193"/>
      <c r="O83" s="193"/>
      <c r="P83" s="194"/>
    </row>
    <row r="84" spans="1:16" x14ac:dyDescent="0.45">
      <c r="A84" s="35"/>
      <c r="B84" s="35"/>
      <c r="C84" s="15"/>
      <c r="D84" s="192" t="s">
        <v>309</v>
      </c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6"/>
    </row>
    <row r="85" spans="1:16" x14ac:dyDescent="0.45">
      <c r="A85" s="35"/>
      <c r="B85" s="35"/>
      <c r="C85" s="15"/>
      <c r="D85" s="192" t="s">
        <v>310</v>
      </c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6"/>
    </row>
    <row r="86" spans="1:16" x14ac:dyDescent="0.45">
      <c r="A86" s="35"/>
      <c r="B86" s="35"/>
      <c r="C86" s="15"/>
      <c r="D86" s="192" t="s">
        <v>311</v>
      </c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6"/>
    </row>
    <row r="87" spans="1:16" x14ac:dyDescent="0.45">
      <c r="A87" s="35"/>
      <c r="B87" s="35"/>
      <c r="C87" s="15"/>
      <c r="D87" s="285" t="s">
        <v>312</v>
      </c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7"/>
    </row>
    <row r="88" spans="1:16" ht="15.75" thickBot="1" x14ac:dyDescent="0.5">
      <c r="A88" s="35"/>
      <c r="B88" s="35"/>
      <c r="C88" s="15"/>
      <c r="D88" s="282" t="s">
        <v>313</v>
      </c>
      <c r="E88" s="283"/>
      <c r="F88" s="283"/>
      <c r="G88" s="283"/>
      <c r="H88" s="283"/>
      <c r="I88" s="283"/>
      <c r="J88" s="283"/>
      <c r="K88" s="283"/>
      <c r="L88" s="283"/>
      <c r="M88" s="283"/>
      <c r="N88" s="283"/>
      <c r="O88" s="283"/>
      <c r="P88" s="284"/>
    </row>
    <row r="89" spans="1:16" x14ac:dyDescent="0.45">
      <c r="A89" s="35"/>
      <c r="B89" s="35"/>
      <c r="C89" s="15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spans="1:16" ht="15.75" thickBot="1" x14ac:dyDescent="0.5">
      <c r="A90" s="35"/>
      <c r="B90" s="35"/>
      <c r="C90" s="15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</row>
    <row r="91" spans="1:16" ht="15.75" thickBot="1" x14ac:dyDescent="0.5">
      <c r="A91" s="49" t="s">
        <v>212</v>
      </c>
      <c r="B91" s="49" t="s">
        <v>162</v>
      </c>
      <c r="C91" s="49" t="s">
        <v>117</v>
      </c>
      <c r="D91" s="262" t="s">
        <v>174</v>
      </c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</row>
    <row r="92" spans="1:16" ht="15.75" thickBot="1" x14ac:dyDescent="0.5">
      <c r="A92" s="57" t="s">
        <v>215</v>
      </c>
      <c r="B92" s="57">
        <v>16</v>
      </c>
      <c r="C92" s="67"/>
      <c r="D92" s="299" t="s">
        <v>324</v>
      </c>
      <c r="E92" s="300"/>
      <c r="F92" s="300"/>
      <c r="G92" s="300"/>
      <c r="H92" s="300"/>
      <c r="I92" s="300"/>
      <c r="J92" s="300"/>
      <c r="K92" s="300"/>
      <c r="L92" s="300"/>
      <c r="M92" s="300"/>
      <c r="N92" s="300"/>
      <c r="O92" s="300"/>
      <c r="P92" s="301"/>
    </row>
    <row r="93" spans="1:16" ht="15.75" customHeight="1" thickBot="1" x14ac:dyDescent="0.5">
      <c r="A93" s="160" t="s">
        <v>211</v>
      </c>
      <c r="B93" s="160">
        <v>6</v>
      </c>
      <c r="C93" s="159">
        <f>B93</f>
        <v>6</v>
      </c>
      <c r="D93" s="296" t="s">
        <v>325</v>
      </c>
      <c r="E93" s="297"/>
      <c r="F93" s="297"/>
      <c r="G93" s="297"/>
      <c r="H93" s="297"/>
      <c r="I93" s="297"/>
      <c r="J93" s="297"/>
      <c r="K93" s="297"/>
      <c r="L93" s="297"/>
      <c r="M93" s="297"/>
      <c r="N93" s="297"/>
      <c r="O93" s="297"/>
      <c r="P93" s="298"/>
    </row>
    <row r="94" spans="1:16" ht="15.75" customHeight="1" x14ac:dyDescent="0.45">
      <c r="D94" s="290"/>
      <c r="E94" s="291"/>
      <c r="F94" s="291"/>
      <c r="G94" s="291"/>
      <c r="H94" s="291"/>
      <c r="I94" s="291"/>
      <c r="J94" s="291"/>
      <c r="K94" s="291"/>
      <c r="L94" s="291"/>
      <c r="M94" s="291"/>
      <c r="N94" s="291"/>
      <c r="O94" s="291"/>
      <c r="P94" s="292"/>
    </row>
    <row r="95" spans="1:16" ht="15.75" customHeight="1" x14ac:dyDescent="0.45">
      <c r="D95" s="290" t="s">
        <v>358</v>
      </c>
      <c r="E95" s="291"/>
      <c r="F95" s="291"/>
      <c r="G95" s="291"/>
      <c r="H95" s="291"/>
      <c r="I95" s="291"/>
      <c r="J95" s="291"/>
      <c r="K95" s="291"/>
      <c r="L95" s="291"/>
      <c r="M95" s="291"/>
      <c r="N95" s="291"/>
      <c r="O95" s="291"/>
      <c r="P95" s="292"/>
    </row>
    <row r="96" spans="1:16" ht="15.75" customHeight="1" x14ac:dyDescent="0.45">
      <c r="D96" s="293" t="s">
        <v>326</v>
      </c>
      <c r="E96" s="294"/>
      <c r="F96" s="294"/>
      <c r="G96" s="294"/>
      <c r="H96" s="294"/>
      <c r="I96" s="294"/>
      <c r="J96" s="294"/>
      <c r="K96" s="294"/>
      <c r="L96" s="294"/>
      <c r="M96" s="294"/>
      <c r="N96" s="294"/>
      <c r="O96" s="294"/>
      <c r="P96" s="295"/>
    </row>
    <row r="97" spans="1:17" ht="15.75" thickBot="1" x14ac:dyDescent="0.5"/>
    <row r="98" spans="1:17" ht="15.75" thickBot="1" x14ac:dyDescent="0.5">
      <c r="A98" s="49" t="s">
        <v>213</v>
      </c>
      <c r="B98" s="49" t="s">
        <v>162</v>
      </c>
      <c r="C98" s="49" t="s">
        <v>117</v>
      </c>
      <c r="D98" s="262" t="s">
        <v>174</v>
      </c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</row>
    <row r="99" spans="1:17" ht="15.75" thickBot="1" x14ac:dyDescent="0.5">
      <c r="A99" s="49"/>
      <c r="B99" s="49">
        <v>20</v>
      </c>
      <c r="C99" s="68">
        <f>B99*2</f>
        <v>40</v>
      </c>
      <c r="D99" s="269" t="s">
        <v>314</v>
      </c>
      <c r="E99" s="270"/>
      <c r="F99" s="270"/>
      <c r="G99" s="270"/>
      <c r="H99" s="270"/>
      <c r="I99" s="270"/>
      <c r="J99" s="270"/>
      <c r="K99" s="270"/>
      <c r="L99" s="270"/>
      <c r="M99" s="270"/>
      <c r="N99" s="270"/>
      <c r="O99" s="270"/>
      <c r="P99" s="271"/>
    </row>
    <row r="100" spans="1:17" ht="35.25" customHeight="1" thickBot="1" x14ac:dyDescent="0.5">
      <c r="D100" s="272"/>
      <c r="E100" s="273"/>
      <c r="F100" s="273"/>
      <c r="G100" s="273"/>
      <c r="H100" s="273"/>
      <c r="I100" s="273"/>
      <c r="J100" s="273"/>
      <c r="K100" s="273"/>
      <c r="L100" s="273"/>
      <c r="M100" s="273"/>
      <c r="N100" s="273"/>
      <c r="O100" s="273"/>
      <c r="P100" s="274"/>
    </row>
    <row r="101" spans="1:17" ht="15.75" thickBot="1" x14ac:dyDescent="0.5">
      <c r="A101" s="20" t="s">
        <v>6</v>
      </c>
    </row>
    <row r="102" spans="1:17" ht="15.75" thickBot="1" x14ac:dyDescent="0.5">
      <c r="A102" s="49" t="s">
        <v>214</v>
      </c>
      <c r="B102" s="49" t="s">
        <v>162</v>
      </c>
      <c r="C102" s="49" t="s">
        <v>117</v>
      </c>
      <c r="D102" s="262" t="s">
        <v>174</v>
      </c>
      <c r="E102" s="262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262"/>
    </row>
    <row r="103" spans="1:17" ht="15.75" thickBot="1" x14ac:dyDescent="0.5">
      <c r="A103" s="49"/>
      <c r="B103" s="49">
        <v>7</v>
      </c>
      <c r="C103" s="68">
        <f>B103*4</f>
        <v>28</v>
      </c>
      <c r="D103" s="191" t="s">
        <v>315</v>
      </c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5"/>
    </row>
    <row r="104" spans="1:17" ht="15.75" thickBot="1" x14ac:dyDescent="0.5">
      <c r="D104" s="206"/>
      <c r="E104" s="207"/>
      <c r="F104" s="207"/>
      <c r="G104" s="207"/>
      <c r="H104" s="207"/>
      <c r="I104" s="207"/>
      <c r="J104" s="207"/>
      <c r="K104" s="207"/>
      <c r="L104" s="207"/>
      <c r="M104" s="207"/>
      <c r="N104" s="207"/>
      <c r="O104" s="207"/>
      <c r="P104" s="208"/>
    </row>
    <row r="107" spans="1:17" x14ac:dyDescent="0.45">
      <c r="A107" s="163" t="s">
        <v>3</v>
      </c>
      <c r="B107" s="164">
        <f>C83+C93+C99+C103</f>
        <v>109</v>
      </c>
    </row>
    <row r="108" spans="1:17" x14ac:dyDescent="0.4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</row>
    <row r="109" spans="1:17" ht="15.75" thickBot="1" x14ac:dyDescent="0.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</row>
    <row r="110" spans="1:17" ht="15.75" thickBot="1" x14ac:dyDescent="0.5">
      <c r="C110" s="148" t="s">
        <v>57</v>
      </c>
      <c r="D110" s="61">
        <f>H77</f>
        <v>1075.105</v>
      </c>
    </row>
  </sheetData>
  <sheetProtection algorithmName="SHA-512" hashValue="lt7lUdMXVBK06jlDx41/iP88+XsJMJwgqPBm/H6hL2vbeXTropgrQ8EqnG3KQ7wn0ay27JvnE7xGXTDPwYO8sw==" saltValue="DRmumOOcyrN9iyK5VQh/uQ==" spinCount="100000" sheet="1" objects="1" scenarios="1"/>
  <mergeCells count="65">
    <mergeCell ref="D94:P94"/>
    <mergeCell ref="D95:P95"/>
    <mergeCell ref="D96:P96"/>
    <mergeCell ref="D93:P93"/>
    <mergeCell ref="D92:P92"/>
    <mergeCell ref="A2:T2"/>
    <mergeCell ref="D91:P91"/>
    <mergeCell ref="D88:P88"/>
    <mergeCell ref="D87:P87"/>
    <mergeCell ref="E74:G74"/>
    <mergeCell ref="E75:G75"/>
    <mergeCell ref="I32:K32"/>
    <mergeCell ref="I33:K33"/>
    <mergeCell ref="I34:K34"/>
    <mergeCell ref="I74:K74"/>
    <mergeCell ref="I75:K75"/>
    <mergeCell ref="E35:G35"/>
    <mergeCell ref="A48:A49"/>
    <mergeCell ref="G48:G49"/>
    <mergeCell ref="H48:H49"/>
    <mergeCell ref="K48:K49"/>
    <mergeCell ref="B48:B49"/>
    <mergeCell ref="C48:C49"/>
    <mergeCell ref="I73:K73"/>
    <mergeCell ref="E70:K70"/>
    <mergeCell ref="E73:G73"/>
    <mergeCell ref="E71:G71"/>
    <mergeCell ref="E72:G72"/>
    <mergeCell ref="D99:P100"/>
    <mergeCell ref="D102:P102"/>
    <mergeCell ref="N6:P6"/>
    <mergeCell ref="D81:P81"/>
    <mergeCell ref="D82:P82"/>
    <mergeCell ref="D98:P98"/>
    <mergeCell ref="D48:D49"/>
    <mergeCell ref="E48:E49"/>
    <mergeCell ref="F48:F49"/>
    <mergeCell ref="G39:J39"/>
    <mergeCell ref="L48:L49"/>
    <mergeCell ref="K6:K7"/>
    <mergeCell ref="I31:K31"/>
    <mergeCell ref="E30:K30"/>
    <mergeCell ref="I71:K71"/>
    <mergeCell ref="I72:K72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6"/>
  <sheetViews>
    <sheetView showGridLines="0" workbookViewId="0">
      <selection activeCell="V25" sqref="V25"/>
    </sheetView>
  </sheetViews>
  <sheetFormatPr defaultColWidth="9.1328125" defaultRowHeight="17.649999999999999" x14ac:dyDescent="0.5"/>
  <cols>
    <col min="1" max="1" width="4" style="31" customWidth="1"/>
    <col min="2" max="2" width="23.73046875" style="31" bestFit="1" customWidth="1"/>
    <col min="3" max="3" width="14.59765625" style="31" bestFit="1" customWidth="1"/>
    <col min="4" max="4" width="14.3984375" style="31" bestFit="1" customWidth="1"/>
    <col min="5" max="5" width="10" style="31" bestFit="1" customWidth="1"/>
    <col min="6" max="6" width="10.7304687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303" t="s">
        <v>237</v>
      </c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305"/>
      <c r="C5" s="306" t="s">
        <v>217</v>
      </c>
      <c r="D5" s="307"/>
      <c r="E5" s="307"/>
      <c r="F5" s="307"/>
      <c r="G5" s="307"/>
      <c r="H5" s="307"/>
      <c r="I5" s="308"/>
      <c r="J5" s="17"/>
      <c r="K5" s="304" t="s">
        <v>218</v>
      </c>
      <c r="L5" s="304"/>
      <c r="M5" s="304"/>
      <c r="N5" s="304"/>
      <c r="O5" s="304"/>
      <c r="P5" s="304"/>
    </row>
    <row r="6" spans="1:16" s="11" customFormat="1" ht="18" thickBot="1" x14ac:dyDescent="0.55000000000000004">
      <c r="B6" s="305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 t="shared" ref="C7:I7" si="0">SUM(C11:C35)</f>
        <v>326</v>
      </c>
      <c r="D7" s="41">
        <f t="shared" si="0"/>
        <v>1</v>
      </c>
      <c r="E7" s="41">
        <f t="shared" si="0"/>
        <v>7</v>
      </c>
      <c r="F7" s="41">
        <f t="shared" si="0"/>
        <v>14</v>
      </c>
      <c r="G7" s="41">
        <f t="shared" si="0"/>
        <v>8</v>
      </c>
      <c r="H7" s="41">
        <f t="shared" si="0"/>
        <v>3</v>
      </c>
      <c r="I7" s="41">
        <f t="shared" si="0"/>
        <v>2</v>
      </c>
      <c r="J7" s="10"/>
      <c r="K7" s="41">
        <f t="shared" ref="K7:P7" si="1">SUM(K11:K35)</f>
        <v>22</v>
      </c>
      <c r="L7" s="41">
        <f t="shared" si="1"/>
        <v>0</v>
      </c>
      <c r="M7" s="41">
        <f t="shared" si="1"/>
        <v>1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304" t="s">
        <v>219</v>
      </c>
      <c r="D9" s="304"/>
      <c r="E9" s="304"/>
      <c r="F9" s="304"/>
      <c r="G9" s="304"/>
      <c r="H9" s="304"/>
      <c r="I9" s="40"/>
      <c r="K9" s="304" t="s">
        <v>220</v>
      </c>
      <c r="L9" s="304"/>
      <c r="M9" s="304"/>
      <c r="N9" s="304"/>
      <c r="O9" s="304"/>
      <c r="P9" s="304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240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241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222" customFormat="1" ht="18" thickBot="1" x14ac:dyDescent="0.55000000000000004">
      <c r="B13" s="199" t="s">
        <v>342</v>
      </c>
      <c r="C13" s="183">
        <v>10</v>
      </c>
      <c r="D13" s="221">
        <v>0</v>
      </c>
      <c r="E13" s="221">
        <v>0</v>
      </c>
      <c r="F13" s="221">
        <v>0</v>
      </c>
      <c r="G13" s="221">
        <v>0</v>
      </c>
      <c r="H13" s="221">
        <v>0</v>
      </c>
      <c r="I13" s="221">
        <v>0</v>
      </c>
      <c r="K13" s="221">
        <v>1</v>
      </c>
      <c r="L13" s="221">
        <v>0</v>
      </c>
      <c r="M13" s="221">
        <v>0</v>
      </c>
      <c r="N13" s="221">
        <v>1</v>
      </c>
      <c r="O13" s="221">
        <v>0</v>
      </c>
      <c r="P13" s="221">
        <v>0</v>
      </c>
    </row>
    <row r="14" spans="1:16" s="226" customFormat="1" ht="18" thickBot="1" x14ac:dyDescent="0.55000000000000004">
      <c r="B14" s="199" t="s">
        <v>329</v>
      </c>
      <c r="C14" s="183">
        <v>0</v>
      </c>
      <c r="D14" s="225">
        <v>0</v>
      </c>
      <c r="E14" s="225">
        <v>0</v>
      </c>
      <c r="F14" s="225">
        <v>0</v>
      </c>
      <c r="G14" s="225">
        <v>1</v>
      </c>
      <c r="H14" s="225">
        <v>0</v>
      </c>
      <c r="I14" s="225">
        <v>0</v>
      </c>
      <c r="K14" s="225">
        <v>1</v>
      </c>
      <c r="L14" s="225">
        <v>0</v>
      </c>
      <c r="M14" s="225">
        <v>0</v>
      </c>
      <c r="N14" s="225">
        <v>0</v>
      </c>
      <c r="O14" s="225">
        <v>0</v>
      </c>
      <c r="P14" s="225">
        <v>0</v>
      </c>
    </row>
    <row r="15" spans="1:16" s="30" customFormat="1" ht="18" thickBot="1" x14ac:dyDescent="0.55000000000000004">
      <c r="A15" s="33"/>
      <c r="B15" s="170" t="s">
        <v>242</v>
      </c>
      <c r="C15" s="183">
        <v>0</v>
      </c>
      <c r="D15" s="172">
        <v>0</v>
      </c>
      <c r="E15" s="172">
        <v>3</v>
      </c>
      <c r="F15" s="172">
        <v>3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198" customFormat="1" ht="18" thickBot="1" x14ac:dyDescent="0.55000000000000004">
      <c r="B16" s="199" t="s">
        <v>277</v>
      </c>
      <c r="C16" s="183">
        <v>0</v>
      </c>
      <c r="D16" s="172">
        <v>1</v>
      </c>
      <c r="E16" s="172">
        <v>0</v>
      </c>
      <c r="F16" s="172">
        <v>0</v>
      </c>
      <c r="G16" s="172">
        <v>0</v>
      </c>
      <c r="H16" s="172">
        <v>0</v>
      </c>
      <c r="I16" s="172">
        <v>0</v>
      </c>
      <c r="K16" s="172">
        <v>0</v>
      </c>
      <c r="L16" s="172">
        <v>0</v>
      </c>
      <c r="M16" s="172">
        <v>1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243</v>
      </c>
      <c r="C17" s="183">
        <v>7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30" customFormat="1" ht="18" thickBot="1" x14ac:dyDescent="0.55000000000000004">
      <c r="A18" s="33"/>
      <c r="B18" s="170" t="s">
        <v>244</v>
      </c>
      <c r="C18" s="183">
        <v>57</v>
      </c>
      <c r="D18" s="172">
        <v>0</v>
      </c>
      <c r="E18" s="172">
        <v>1</v>
      </c>
      <c r="F18" s="172">
        <v>3</v>
      </c>
      <c r="G18" s="172">
        <v>0</v>
      </c>
      <c r="H18" s="172">
        <v>0</v>
      </c>
      <c r="I18" s="172">
        <v>0</v>
      </c>
      <c r="J18" s="169" t="s">
        <v>6</v>
      </c>
      <c r="K18" s="172">
        <v>2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220" customFormat="1" ht="18" thickBot="1" x14ac:dyDescent="0.55000000000000004">
      <c r="B19" s="199" t="s">
        <v>339</v>
      </c>
      <c r="C19" s="183">
        <v>7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K19" s="219">
        <v>0</v>
      </c>
      <c r="L19" s="219">
        <v>0</v>
      </c>
      <c r="M19" s="219">
        <v>0</v>
      </c>
      <c r="N19" s="219">
        <v>0</v>
      </c>
      <c r="O19" s="219">
        <v>0</v>
      </c>
      <c r="P19" s="219">
        <v>0</v>
      </c>
    </row>
    <row r="20" spans="1:16" s="30" customFormat="1" ht="18" thickBot="1" x14ac:dyDescent="0.55000000000000004">
      <c r="A20" s="33"/>
      <c r="B20" s="170" t="s">
        <v>245</v>
      </c>
      <c r="C20" s="183">
        <v>15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 t="s">
        <v>6</v>
      </c>
      <c r="K20" s="172">
        <v>1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246</v>
      </c>
      <c r="C21" s="183">
        <v>0</v>
      </c>
      <c r="D21" s="172">
        <v>0</v>
      </c>
      <c r="E21" s="172">
        <v>1</v>
      </c>
      <c r="F21" s="172">
        <v>3</v>
      </c>
      <c r="G21" s="172">
        <v>2</v>
      </c>
      <c r="H21" s="172">
        <v>3</v>
      </c>
      <c r="I21" s="172">
        <v>1</v>
      </c>
      <c r="J21" s="169" t="s">
        <v>6</v>
      </c>
      <c r="K21" s="172">
        <v>9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0" customFormat="1" ht="18" thickBot="1" x14ac:dyDescent="0.55000000000000004">
      <c r="A22" s="33"/>
      <c r="B22" s="170" t="s">
        <v>247</v>
      </c>
      <c r="C22" s="183">
        <v>5</v>
      </c>
      <c r="D22" s="172">
        <v>0</v>
      </c>
      <c r="E22" s="172">
        <v>0</v>
      </c>
      <c r="F22" s="172">
        <v>0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30" customFormat="1" ht="18" thickBot="1" x14ac:dyDescent="0.55000000000000004">
      <c r="A23" s="33"/>
      <c r="B23" s="170" t="s">
        <v>272</v>
      </c>
      <c r="C23" s="183">
        <v>10</v>
      </c>
      <c r="D23" s="172">
        <v>0</v>
      </c>
      <c r="E23" s="172">
        <v>0</v>
      </c>
      <c r="F23" s="172">
        <v>0</v>
      </c>
      <c r="G23" s="172">
        <v>0</v>
      </c>
      <c r="H23" s="172">
        <v>0</v>
      </c>
      <c r="I23" s="172">
        <v>0</v>
      </c>
      <c r="J23" s="169"/>
      <c r="K23" s="172">
        <v>0</v>
      </c>
      <c r="L23" s="172">
        <v>0</v>
      </c>
      <c r="M23" s="172">
        <v>0</v>
      </c>
      <c r="N23" s="172">
        <v>0</v>
      </c>
      <c r="O23" s="172">
        <v>0</v>
      </c>
      <c r="P23" s="172">
        <v>0</v>
      </c>
    </row>
    <row r="24" spans="1:16" s="30" customFormat="1" ht="18" thickBot="1" x14ac:dyDescent="0.55000000000000004">
      <c r="A24" s="33"/>
      <c r="B24" s="170" t="s">
        <v>248</v>
      </c>
      <c r="C24" s="183">
        <v>2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3" customFormat="1" ht="18" thickBot="1" x14ac:dyDescent="0.55000000000000004">
      <c r="B25" s="170" t="s">
        <v>318</v>
      </c>
      <c r="C25" s="183">
        <v>31</v>
      </c>
      <c r="D25" s="172">
        <v>0</v>
      </c>
      <c r="E25" s="172">
        <v>0</v>
      </c>
      <c r="F25" s="172">
        <v>1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211" customFormat="1" ht="18" thickBot="1" x14ac:dyDescent="0.55000000000000004">
      <c r="B26" s="199" t="s">
        <v>319</v>
      </c>
      <c r="C26" s="183">
        <v>10</v>
      </c>
      <c r="D26" s="210">
        <v>0</v>
      </c>
      <c r="E26" s="210">
        <v>0</v>
      </c>
      <c r="F26" s="210">
        <v>0</v>
      </c>
      <c r="G26" s="210">
        <v>0</v>
      </c>
      <c r="H26" s="210">
        <v>0</v>
      </c>
      <c r="I26" s="210">
        <v>0</v>
      </c>
      <c r="K26" s="210">
        <v>0</v>
      </c>
      <c r="L26" s="210">
        <v>0</v>
      </c>
      <c r="M26" s="210">
        <v>0</v>
      </c>
      <c r="N26" s="210">
        <v>0</v>
      </c>
      <c r="O26" s="210">
        <v>0</v>
      </c>
      <c r="P26" s="210">
        <v>0</v>
      </c>
    </row>
    <row r="27" spans="1:16" s="33" customFormat="1" ht="18" thickBot="1" x14ac:dyDescent="0.55000000000000004">
      <c r="B27" s="170" t="s">
        <v>249</v>
      </c>
      <c r="C27" s="183">
        <v>16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250</v>
      </c>
      <c r="C28" s="183">
        <v>4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251</v>
      </c>
      <c r="C29" s="183">
        <v>15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252</v>
      </c>
      <c r="C30" s="183">
        <v>4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253</v>
      </c>
      <c r="C31" s="183">
        <v>8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254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16" s="33" customFormat="1" ht="18" thickBot="1" x14ac:dyDescent="0.55000000000000004">
      <c r="B33" s="170" t="s">
        <v>255</v>
      </c>
      <c r="C33" s="183">
        <v>0</v>
      </c>
      <c r="D33" s="172">
        <v>0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69"/>
      <c r="K33" s="172">
        <v>0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</row>
    <row r="34" spans="2:16" s="33" customFormat="1" ht="18" thickBot="1" x14ac:dyDescent="0.55000000000000004">
      <c r="B34" s="170" t="s">
        <v>256</v>
      </c>
      <c r="C34" s="183">
        <v>0</v>
      </c>
      <c r="D34" s="172">
        <v>0</v>
      </c>
      <c r="E34" s="172">
        <v>0</v>
      </c>
      <c r="F34" s="172">
        <v>0</v>
      </c>
      <c r="G34" s="172">
        <v>0</v>
      </c>
      <c r="H34" s="172">
        <v>0</v>
      </c>
      <c r="I34" s="172">
        <v>0</v>
      </c>
      <c r="J34" s="169"/>
      <c r="K34" s="172">
        <v>0</v>
      </c>
      <c r="L34" s="172">
        <v>0</v>
      </c>
      <c r="M34" s="172">
        <v>0</v>
      </c>
      <c r="N34" s="172">
        <v>0</v>
      </c>
      <c r="O34" s="172">
        <v>0</v>
      </c>
      <c r="P34" s="172">
        <v>0</v>
      </c>
    </row>
    <row r="35" spans="2:16" s="33" customFormat="1" ht="18" thickBot="1" x14ac:dyDescent="0.55000000000000004">
      <c r="B35" s="170" t="s">
        <v>257</v>
      </c>
      <c r="C35" s="183">
        <v>0</v>
      </c>
      <c r="D35" s="172">
        <v>0</v>
      </c>
      <c r="E35" s="172">
        <v>0</v>
      </c>
      <c r="F35" s="172">
        <v>0</v>
      </c>
      <c r="G35" s="172">
        <v>0</v>
      </c>
      <c r="H35" s="172">
        <v>0</v>
      </c>
      <c r="I35" s="172">
        <v>0</v>
      </c>
      <c r="J35" s="169"/>
      <c r="K35" s="172">
        <v>0</v>
      </c>
      <c r="L35" s="172">
        <v>0</v>
      </c>
      <c r="M35" s="172">
        <v>0</v>
      </c>
      <c r="N35" s="172">
        <v>0</v>
      </c>
      <c r="O35" s="172">
        <v>0</v>
      </c>
      <c r="P35" s="172">
        <v>0</v>
      </c>
    </row>
    <row r="36" spans="2:16" s="33" customFormat="1" x14ac:dyDescent="0.5"/>
    <row r="37" spans="2:16" x14ac:dyDescent="0.5">
      <c r="D37" s="28"/>
    </row>
    <row r="38" spans="2:16" x14ac:dyDescent="0.5">
      <c r="B38" s="309" t="s">
        <v>229</v>
      </c>
      <c r="C38" s="310"/>
      <c r="D38" s="310"/>
      <c r="E38" s="310"/>
      <c r="F38" s="310"/>
      <c r="G38" s="311"/>
      <c r="H38" s="28"/>
    </row>
    <row r="39" spans="2:16" x14ac:dyDescent="0.5">
      <c r="B39" s="42" t="s">
        <v>176</v>
      </c>
      <c r="C39" s="42" t="s">
        <v>209</v>
      </c>
      <c r="D39" s="42" t="s">
        <v>221</v>
      </c>
      <c r="E39" s="149" t="s">
        <v>117</v>
      </c>
      <c r="F39" s="150" t="s">
        <v>7</v>
      </c>
      <c r="G39" s="42" t="s">
        <v>122</v>
      </c>
    </row>
    <row r="40" spans="2:16" s="200" customFormat="1" x14ac:dyDescent="0.5">
      <c r="B40" s="173" t="str">
        <f>_xlfn.CONCAT(D40," en ",C40)</f>
        <v>Comida en Irlanda</v>
      </c>
      <c r="C40" s="173" t="s">
        <v>276</v>
      </c>
      <c r="D40" s="173" t="s">
        <v>92</v>
      </c>
      <c r="E40" s="149">
        <v>65</v>
      </c>
      <c r="F40" s="151">
        <v>0.33</v>
      </c>
      <c r="G40" s="173" t="s">
        <v>10</v>
      </c>
    </row>
    <row r="41" spans="2:16" s="171" customFormat="1" x14ac:dyDescent="0.5">
      <c r="B41" s="173" t="str">
        <f t="shared" ref="B41:B63" si="2">_xlfn.CONCAT(D41," en ",C41)</f>
        <v>Exótico 1 en India</v>
      </c>
      <c r="C41" s="173" t="s">
        <v>240</v>
      </c>
      <c r="D41" s="173" t="s">
        <v>260</v>
      </c>
      <c r="E41" s="197">
        <v>55</v>
      </c>
      <c r="F41" s="151">
        <v>0</v>
      </c>
      <c r="G41" s="173" t="s">
        <v>10</v>
      </c>
    </row>
    <row r="42" spans="2:16" s="171" customFormat="1" x14ac:dyDescent="0.5">
      <c r="B42" s="173" t="str">
        <f t="shared" si="2"/>
        <v>Comida 1 en India</v>
      </c>
      <c r="C42" s="173" t="s">
        <v>240</v>
      </c>
      <c r="D42" s="173" t="s">
        <v>261</v>
      </c>
      <c r="E42" s="197">
        <v>60</v>
      </c>
      <c r="F42" s="151">
        <v>0.33</v>
      </c>
      <c r="G42" s="173" t="s">
        <v>10</v>
      </c>
    </row>
    <row r="43" spans="2:16" s="171" customFormat="1" x14ac:dyDescent="0.5">
      <c r="B43" s="173" t="str">
        <f t="shared" si="2"/>
        <v>Industria en Canada</v>
      </c>
      <c r="C43" s="173" t="s">
        <v>241</v>
      </c>
      <c r="D43" s="173" t="s">
        <v>135</v>
      </c>
      <c r="E43" s="197">
        <v>85</v>
      </c>
      <c r="F43" s="151">
        <v>0.33</v>
      </c>
      <c r="G43" s="173" t="s">
        <v>10</v>
      </c>
    </row>
    <row r="44" spans="2:16" s="171" customFormat="1" x14ac:dyDescent="0.5">
      <c r="B44" s="173" t="str">
        <f t="shared" si="2"/>
        <v>Hierro 1 en Canada</v>
      </c>
      <c r="C44" s="173" t="s">
        <v>241</v>
      </c>
      <c r="D44" s="173" t="s">
        <v>263</v>
      </c>
      <c r="E44" s="197">
        <v>60</v>
      </c>
      <c r="F44" s="151">
        <v>0</v>
      </c>
      <c r="G44" s="173" t="s">
        <v>10</v>
      </c>
      <c r="I44" s="215"/>
    </row>
    <row r="45" spans="2:16" s="171" customFormat="1" x14ac:dyDescent="0.5">
      <c r="B45" s="173" t="str">
        <f t="shared" si="2"/>
        <v>Hierro 2 en Canada</v>
      </c>
      <c r="C45" s="173" t="s">
        <v>241</v>
      </c>
      <c r="D45" s="173" t="s">
        <v>264</v>
      </c>
      <c r="E45" s="197">
        <v>60</v>
      </c>
      <c r="F45" s="151">
        <v>0</v>
      </c>
      <c r="G45" s="173" t="s">
        <v>10</v>
      </c>
    </row>
    <row r="46" spans="2:16" s="171" customFormat="1" x14ac:dyDescent="0.5">
      <c r="B46" s="173" t="str">
        <f t="shared" si="2"/>
        <v>Comida 1 en Canada</v>
      </c>
      <c r="C46" s="173" t="s">
        <v>241</v>
      </c>
      <c r="D46" s="173" t="s">
        <v>261</v>
      </c>
      <c r="E46" s="197">
        <v>60</v>
      </c>
      <c r="F46" s="151">
        <v>0.33</v>
      </c>
      <c r="G46" s="173" t="s">
        <v>10</v>
      </c>
    </row>
    <row r="47" spans="2:16" s="171" customFormat="1" x14ac:dyDescent="0.5">
      <c r="B47" s="173" t="str">
        <f t="shared" si="2"/>
        <v>Comida 2 en Canada</v>
      </c>
      <c r="C47" s="173" t="s">
        <v>241</v>
      </c>
      <c r="D47" s="173" t="s">
        <v>262</v>
      </c>
      <c r="E47" s="197">
        <v>60</v>
      </c>
      <c r="F47" s="151">
        <v>0</v>
      </c>
      <c r="G47" s="173" t="s">
        <v>10</v>
      </c>
    </row>
    <row r="48" spans="2:16" s="224" customFormat="1" x14ac:dyDescent="0.5">
      <c r="B48" s="173" t="str">
        <f t="shared" si="2"/>
        <v>Mat prima en Canada</v>
      </c>
      <c r="C48" s="173" t="s">
        <v>241</v>
      </c>
      <c r="D48" s="173" t="s">
        <v>354</v>
      </c>
      <c r="E48" s="197">
        <v>70</v>
      </c>
      <c r="F48" s="151">
        <v>0</v>
      </c>
      <c r="G48" s="173" t="s">
        <v>120</v>
      </c>
    </row>
    <row r="49" spans="2:7" s="171" customFormat="1" x14ac:dyDescent="0.5">
      <c r="B49" s="173" t="str">
        <f t="shared" si="2"/>
        <v>Mat Prima en Australia</v>
      </c>
      <c r="C49" s="173" t="s">
        <v>268</v>
      </c>
      <c r="D49" s="173" t="s">
        <v>267</v>
      </c>
      <c r="E49" s="197">
        <v>60</v>
      </c>
      <c r="F49" s="151">
        <v>0.33</v>
      </c>
      <c r="G49" s="173" t="s">
        <v>10</v>
      </c>
    </row>
    <row r="50" spans="2:7" s="171" customFormat="1" x14ac:dyDescent="0.5">
      <c r="B50" s="173" t="str">
        <f t="shared" si="2"/>
        <v>Comida 1 en Australia</v>
      </c>
      <c r="C50" s="173" t="s">
        <v>268</v>
      </c>
      <c r="D50" s="173" t="s">
        <v>261</v>
      </c>
      <c r="E50" s="197">
        <v>65</v>
      </c>
      <c r="F50" s="151">
        <v>0</v>
      </c>
      <c r="G50" s="173" t="s">
        <v>10</v>
      </c>
    </row>
    <row r="51" spans="2:7" s="171" customFormat="1" x14ac:dyDescent="0.5">
      <c r="B51" s="173" t="str">
        <f t="shared" si="2"/>
        <v>Comida 2 en Australia</v>
      </c>
      <c r="C51" s="173" t="s">
        <v>268</v>
      </c>
      <c r="D51" s="173" t="s">
        <v>262</v>
      </c>
      <c r="E51" s="197">
        <v>65</v>
      </c>
      <c r="F51" s="151">
        <v>0</v>
      </c>
      <c r="G51" s="173" t="s">
        <v>10</v>
      </c>
    </row>
    <row r="52" spans="2:7" s="171" customFormat="1" x14ac:dyDescent="0.5">
      <c r="B52" s="173" t="str">
        <f t="shared" si="2"/>
        <v>Exótico en Jamaica</v>
      </c>
      <c r="C52" s="173" t="s">
        <v>243</v>
      </c>
      <c r="D52" s="173" t="s">
        <v>270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2"/>
        <v>Mat Primas 1 en Egipto</v>
      </c>
      <c r="C53" s="173" t="s">
        <v>244</v>
      </c>
      <c r="D53" s="173" t="s">
        <v>258</v>
      </c>
      <c r="E53" s="197">
        <v>70</v>
      </c>
      <c r="F53" s="151">
        <v>0.33</v>
      </c>
      <c r="G53" s="173" t="s">
        <v>10</v>
      </c>
    </row>
    <row r="54" spans="2:7" s="171" customFormat="1" x14ac:dyDescent="0.5">
      <c r="B54" s="173" t="str">
        <f t="shared" si="2"/>
        <v>Mat Primas 2 en Egipto</v>
      </c>
      <c r="C54" s="173" t="s">
        <v>244</v>
      </c>
      <c r="D54" s="173" t="s">
        <v>259</v>
      </c>
      <c r="E54" s="197">
        <v>65</v>
      </c>
      <c r="F54" s="151">
        <v>0</v>
      </c>
      <c r="G54" s="173" t="s">
        <v>10</v>
      </c>
    </row>
    <row r="55" spans="2:7" s="171" customFormat="1" x14ac:dyDescent="0.5">
      <c r="B55" s="173" t="str">
        <f t="shared" si="2"/>
        <v>Comida en Egipto</v>
      </c>
      <c r="C55" s="173" t="s">
        <v>244</v>
      </c>
      <c r="D55" s="173" t="s">
        <v>92</v>
      </c>
      <c r="E55" s="197">
        <v>70</v>
      </c>
      <c r="F55" s="151">
        <v>0</v>
      </c>
      <c r="G55" s="173" t="s">
        <v>10</v>
      </c>
    </row>
    <row r="56" spans="2:7" s="171" customFormat="1" x14ac:dyDescent="0.5">
      <c r="B56" s="173" t="str">
        <f t="shared" si="2"/>
        <v>Exótico en Ghana</v>
      </c>
      <c r="C56" s="173" t="s">
        <v>272</v>
      </c>
      <c r="D56" s="173" t="s">
        <v>270</v>
      </c>
      <c r="E56" s="197">
        <v>60</v>
      </c>
      <c r="F56" s="151">
        <v>0</v>
      </c>
      <c r="G56" s="173" t="s">
        <v>10</v>
      </c>
    </row>
    <row r="57" spans="2:7" s="171" customFormat="1" x14ac:dyDescent="0.5">
      <c r="B57" s="173" t="str">
        <f t="shared" si="2"/>
        <v>Exótico en Nigeria</v>
      </c>
      <c r="C57" s="173" t="s">
        <v>245</v>
      </c>
      <c r="D57" s="173" t="s">
        <v>270</v>
      </c>
      <c r="E57" s="197">
        <v>55</v>
      </c>
      <c r="F57" s="151">
        <v>0</v>
      </c>
      <c r="G57" s="173" t="s">
        <v>10</v>
      </c>
    </row>
    <row r="58" spans="2:7" s="171" customFormat="1" x14ac:dyDescent="0.5">
      <c r="B58" s="173" t="str">
        <f t="shared" si="2"/>
        <v>Carbón en El Cabo</v>
      </c>
      <c r="C58" s="173" t="s">
        <v>274</v>
      </c>
      <c r="D58" s="173" t="s">
        <v>95</v>
      </c>
      <c r="E58" s="197">
        <v>55</v>
      </c>
      <c r="F58" s="151">
        <v>0</v>
      </c>
      <c r="G58" s="173" t="s">
        <v>10</v>
      </c>
    </row>
    <row r="59" spans="2:7" s="171" customFormat="1" x14ac:dyDescent="0.5">
      <c r="B59" s="173" t="str">
        <f t="shared" si="2"/>
        <v>Mat Prima en El Cabo</v>
      </c>
      <c r="C59" s="173" t="s">
        <v>274</v>
      </c>
      <c r="D59" s="173" t="s">
        <v>267</v>
      </c>
      <c r="E59" s="197">
        <v>60</v>
      </c>
      <c r="F59" s="151">
        <v>0</v>
      </c>
      <c r="G59" s="173" t="s">
        <v>10</v>
      </c>
    </row>
    <row r="60" spans="2:7" s="171" customFormat="1" x14ac:dyDescent="0.5">
      <c r="B60" s="173" t="str">
        <f t="shared" si="2"/>
        <v>Exótico en Kenia</v>
      </c>
      <c r="C60" s="173" t="s">
        <v>249</v>
      </c>
      <c r="D60" s="173" t="s">
        <v>270</v>
      </c>
      <c r="E60" s="197">
        <v>60</v>
      </c>
      <c r="F60" s="151">
        <v>0</v>
      </c>
      <c r="G60" s="173" t="s">
        <v>10</v>
      </c>
    </row>
    <row r="61" spans="2:7" s="215" customFormat="1" x14ac:dyDescent="0.5">
      <c r="B61" s="173" t="str">
        <f t="shared" si="2"/>
        <v>Comida en Rodesia</v>
      </c>
      <c r="C61" s="173" t="s">
        <v>327</v>
      </c>
      <c r="D61" s="173" t="s">
        <v>92</v>
      </c>
      <c r="E61" s="197">
        <v>70</v>
      </c>
      <c r="F61" s="151">
        <v>0.33</v>
      </c>
      <c r="G61" s="173" t="s">
        <v>10</v>
      </c>
    </row>
    <row r="62" spans="2:7" s="224" customFormat="1" x14ac:dyDescent="0.5">
      <c r="B62" s="173" t="str">
        <f t="shared" si="2"/>
        <v>Exótico en Brasil</v>
      </c>
      <c r="C62" s="173" t="s">
        <v>353</v>
      </c>
      <c r="D62" s="173" t="s">
        <v>270</v>
      </c>
      <c r="E62" s="197">
        <v>65</v>
      </c>
      <c r="F62" s="151">
        <v>0</v>
      </c>
      <c r="G62" s="173" t="s">
        <v>120</v>
      </c>
    </row>
    <row r="63" spans="2:7" s="171" customFormat="1" x14ac:dyDescent="0.5">
      <c r="B63" s="173" t="str">
        <f t="shared" si="2"/>
        <v>Exótico en Malasia</v>
      </c>
      <c r="C63" s="173" t="s">
        <v>253</v>
      </c>
      <c r="D63" s="173" t="s">
        <v>270</v>
      </c>
      <c r="E63" s="197">
        <v>65</v>
      </c>
      <c r="F63" s="151">
        <v>0</v>
      </c>
      <c r="G63" s="173" t="s">
        <v>10</v>
      </c>
    </row>
    <row r="64" spans="2:7" x14ac:dyDescent="0.5">
      <c r="D64" s="302"/>
      <c r="E64" s="302"/>
      <c r="F64" s="13"/>
      <c r="G64" s="28"/>
    </row>
    <row r="65" spans="4:16" x14ac:dyDescent="0.5">
      <c r="D65" s="302"/>
      <c r="E65" s="302"/>
      <c r="F65" s="13"/>
      <c r="G65" s="28"/>
    </row>
    <row r="66" spans="4:16" x14ac:dyDescent="0.5">
      <c r="D66" s="302"/>
      <c r="E66" s="302"/>
      <c r="F66" s="13"/>
      <c r="G66" s="28"/>
    </row>
    <row r="67" spans="4:16" x14ac:dyDescent="0.5">
      <c r="D67" s="302"/>
      <c r="E67" s="302"/>
      <c r="F67" s="302"/>
      <c r="G67" s="14"/>
    </row>
    <row r="70" spans="4:16" x14ac:dyDescent="0.5">
      <c r="D70" s="302"/>
      <c r="E70" s="302"/>
      <c r="F70" s="302"/>
      <c r="G70" s="302"/>
      <c r="H70" s="302"/>
      <c r="I70" s="302"/>
      <c r="K70" s="302"/>
      <c r="L70" s="302"/>
      <c r="M70" s="302"/>
      <c r="N70" s="302"/>
      <c r="O70" s="302"/>
      <c r="P70" s="302"/>
    </row>
    <row r="74" spans="4:16" x14ac:dyDescent="0.5">
      <c r="D74" s="302"/>
      <c r="E74" s="302"/>
      <c r="F74" s="14"/>
      <c r="G74" s="28"/>
      <c r="I74" s="28"/>
    </row>
    <row r="75" spans="4:16" x14ac:dyDescent="0.5">
      <c r="D75" s="302"/>
      <c r="E75" s="302"/>
      <c r="F75" s="14"/>
      <c r="G75" s="28"/>
    </row>
    <row r="76" spans="4:16" x14ac:dyDescent="0.5">
      <c r="D76" s="302"/>
      <c r="E76" s="302"/>
      <c r="F76" s="14"/>
      <c r="G76" s="28"/>
    </row>
    <row r="77" spans="4:16" x14ac:dyDescent="0.5">
      <c r="D77" s="302"/>
      <c r="E77" s="302"/>
      <c r="F77" s="14"/>
      <c r="G77" s="28"/>
    </row>
    <row r="78" spans="4:16" x14ac:dyDescent="0.5">
      <c r="D78" s="302"/>
      <c r="E78" s="302"/>
      <c r="F78" s="13"/>
      <c r="G78" s="28"/>
      <c r="I78" s="28"/>
    </row>
    <row r="79" spans="4:16" x14ac:dyDescent="0.5">
      <c r="D79" s="302"/>
      <c r="E79" s="302"/>
      <c r="F79" s="13"/>
      <c r="G79" s="28"/>
    </row>
    <row r="80" spans="4:16" x14ac:dyDescent="0.5">
      <c r="D80" s="302"/>
      <c r="E80" s="302"/>
      <c r="F80" s="302"/>
      <c r="G80" s="14"/>
    </row>
    <row r="81" spans="2:17" x14ac:dyDescent="0.5">
      <c r="D81" s="28"/>
      <c r="G81" s="14"/>
      <c r="H81" s="28"/>
    </row>
    <row r="82" spans="2:17" ht="17.649999999999999" customHeight="1" x14ac:dyDescent="0.5">
      <c r="Q82" s="32"/>
    </row>
    <row r="83" spans="2:17" x14ac:dyDescent="0.5"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</row>
    <row r="86" spans="2:17" x14ac:dyDescent="0.5">
      <c r="B86" s="28"/>
      <c r="E86" s="28"/>
    </row>
    <row r="87" spans="2:17" x14ac:dyDescent="0.5">
      <c r="C87" s="28"/>
    </row>
    <row r="88" spans="2:17" x14ac:dyDescent="0.5">
      <c r="D88" s="302"/>
      <c r="E88" s="302"/>
      <c r="F88" s="302"/>
      <c r="G88" s="302"/>
      <c r="H88" s="302"/>
      <c r="I88" s="302"/>
      <c r="K88" s="302"/>
      <c r="L88" s="302"/>
      <c r="M88" s="302"/>
      <c r="N88" s="302"/>
      <c r="O88" s="302"/>
      <c r="P88" s="302"/>
    </row>
    <row r="91" spans="2:17" x14ac:dyDescent="0.5">
      <c r="D91" s="28"/>
    </row>
    <row r="92" spans="2:17" x14ac:dyDescent="0.5">
      <c r="D92" s="302"/>
      <c r="E92" s="302"/>
      <c r="F92" s="14"/>
      <c r="G92" s="28"/>
    </row>
    <row r="93" spans="2:17" x14ac:dyDescent="0.5">
      <c r="D93" s="302"/>
      <c r="E93" s="302"/>
      <c r="F93" s="14"/>
    </row>
    <row r="94" spans="2:17" x14ac:dyDescent="0.5">
      <c r="D94" s="302"/>
      <c r="E94" s="302"/>
      <c r="F94" s="13"/>
    </row>
    <row r="95" spans="2:17" x14ac:dyDescent="0.5">
      <c r="D95" s="302"/>
      <c r="E95" s="302"/>
      <c r="F95" s="13"/>
    </row>
    <row r="96" spans="2:17" x14ac:dyDescent="0.5">
      <c r="D96" s="302"/>
      <c r="E96" s="302"/>
      <c r="F96" s="302"/>
      <c r="G96" s="14"/>
    </row>
    <row r="97" spans="4:17" ht="17.649999999999999" customHeight="1" x14ac:dyDescent="0.5">
      <c r="Q97" s="34"/>
    </row>
    <row r="98" spans="4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2" spans="4:17" x14ac:dyDescent="0.5">
      <c r="E102" s="14"/>
    </row>
    <row r="103" spans="4:17" x14ac:dyDescent="0.5">
      <c r="D103" s="302"/>
      <c r="E103" s="302"/>
      <c r="F103" s="302"/>
      <c r="G103" s="302"/>
      <c r="H103" s="302"/>
      <c r="I103" s="302"/>
      <c r="K103" s="302"/>
      <c r="L103" s="302"/>
      <c r="M103" s="302"/>
      <c r="N103" s="302"/>
      <c r="O103" s="302"/>
      <c r="P103" s="302"/>
    </row>
    <row r="107" spans="4:17" x14ac:dyDescent="0.5">
      <c r="D107" s="302"/>
      <c r="E107" s="302"/>
    </row>
    <row r="108" spans="4:17" x14ac:dyDescent="0.5">
      <c r="D108" s="302"/>
      <c r="E108" s="302"/>
      <c r="F108" s="14"/>
    </row>
    <row r="111" spans="4:17" x14ac:dyDescent="0.5">
      <c r="E111" s="14"/>
      <c r="F111" s="28"/>
      <c r="J111" s="28"/>
    </row>
    <row r="112" spans="4:17" x14ac:dyDescent="0.5">
      <c r="D112" s="302"/>
      <c r="E112" s="302"/>
      <c r="F112" s="302"/>
      <c r="G112" s="302"/>
      <c r="H112" s="302"/>
      <c r="I112" s="302"/>
      <c r="K112" s="302"/>
      <c r="L112" s="302"/>
      <c r="M112" s="302"/>
      <c r="N112" s="302"/>
      <c r="O112" s="302"/>
      <c r="P112" s="302"/>
    </row>
    <row r="116" spans="2:17" x14ac:dyDescent="0.5">
      <c r="D116" s="302"/>
      <c r="E116" s="302"/>
      <c r="F116" s="14"/>
      <c r="H116" s="28"/>
    </row>
    <row r="117" spans="2:17" x14ac:dyDescent="0.5">
      <c r="D117" s="302"/>
      <c r="E117" s="302"/>
      <c r="F117" s="14"/>
    </row>
    <row r="118" spans="2:17" x14ac:dyDescent="0.5">
      <c r="D118" s="302"/>
      <c r="E118" s="302"/>
      <c r="F118" s="13"/>
    </row>
    <row r="119" spans="2:17" x14ac:dyDescent="0.5">
      <c r="D119" s="302"/>
      <c r="E119" s="302"/>
      <c r="F119" s="302"/>
      <c r="G119" s="14"/>
    </row>
    <row r="120" spans="2:17" ht="18.75" customHeight="1" x14ac:dyDescent="0.5">
      <c r="Q120" s="34"/>
    </row>
    <row r="121" spans="2:17" x14ac:dyDescent="0.5"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</row>
    <row r="125" spans="2:17" x14ac:dyDescent="0.5">
      <c r="B125" s="28"/>
    </row>
    <row r="126" spans="2:17" x14ac:dyDescent="0.5">
      <c r="C126" s="28"/>
      <c r="I126" s="14"/>
    </row>
    <row r="128" spans="2:17" x14ac:dyDescent="0.5">
      <c r="E128" s="14"/>
      <c r="F128" s="28"/>
    </row>
    <row r="130" spans="4:16" x14ac:dyDescent="0.5">
      <c r="D130" s="302"/>
      <c r="E130" s="302"/>
      <c r="F130" s="14"/>
    </row>
    <row r="132" spans="4:16" x14ac:dyDescent="0.5">
      <c r="E132" s="14"/>
    </row>
    <row r="135" spans="4:16" x14ac:dyDescent="0.5">
      <c r="E135" s="14"/>
      <c r="F135" s="28"/>
    </row>
    <row r="136" spans="4:16" x14ac:dyDescent="0.5">
      <c r="D136" s="28"/>
    </row>
    <row r="137" spans="4:16" x14ac:dyDescent="0.5">
      <c r="D137" s="302"/>
      <c r="E137" s="302"/>
      <c r="F137" s="14"/>
      <c r="G137" s="28"/>
      <c r="I137" s="28"/>
    </row>
    <row r="138" spans="4:16" x14ac:dyDescent="0.5">
      <c r="D138" s="302"/>
      <c r="E138" s="302"/>
      <c r="F138" s="14"/>
      <c r="G138" s="28"/>
    </row>
    <row r="139" spans="4:16" x14ac:dyDescent="0.5">
      <c r="D139" s="302"/>
      <c r="E139" s="302"/>
      <c r="F139" s="14"/>
      <c r="G139" s="28"/>
    </row>
    <row r="140" spans="4:16" x14ac:dyDescent="0.5">
      <c r="D140" s="302"/>
      <c r="E140" s="302"/>
      <c r="F140" s="14"/>
      <c r="G140" s="14"/>
      <c r="I140" s="28"/>
    </row>
    <row r="141" spans="4:16" x14ac:dyDescent="0.5">
      <c r="D141" s="312"/>
      <c r="E141" s="312"/>
      <c r="F141" s="312"/>
      <c r="G141" s="312"/>
      <c r="H141" s="312"/>
      <c r="I141" s="312"/>
      <c r="J141" s="312"/>
      <c r="K141" s="312"/>
      <c r="L141" s="312"/>
      <c r="M141" s="312"/>
      <c r="N141" s="312"/>
      <c r="O141" s="312"/>
      <c r="P141" s="312"/>
    </row>
    <row r="142" spans="4:16" x14ac:dyDescent="0.5">
      <c r="E142" s="14"/>
      <c r="F142" s="28"/>
    </row>
    <row r="143" spans="4:16" x14ac:dyDescent="0.5">
      <c r="D143" s="302"/>
      <c r="E143" s="302"/>
    </row>
    <row r="144" spans="4:16" x14ac:dyDescent="0.5">
      <c r="D144" s="302"/>
      <c r="E144" s="302"/>
      <c r="F144" s="14"/>
      <c r="H144" s="28"/>
    </row>
    <row r="145" spans="4:16" x14ac:dyDescent="0.5">
      <c r="D145" s="302"/>
      <c r="E145" s="302"/>
      <c r="F145" s="302"/>
      <c r="G145" s="302"/>
      <c r="H145" s="302"/>
      <c r="I145" s="302"/>
      <c r="K145" s="302"/>
      <c r="L145" s="302"/>
      <c r="M145" s="302"/>
      <c r="N145" s="302"/>
      <c r="O145" s="302"/>
      <c r="P145" s="302"/>
    </row>
    <row r="148" spans="4:16" x14ac:dyDescent="0.5">
      <c r="G148" s="14"/>
    </row>
    <row r="149" spans="4:16" x14ac:dyDescent="0.5">
      <c r="G149" s="14"/>
    </row>
    <row r="150" spans="4:16" x14ac:dyDescent="0.5">
      <c r="E150" s="14"/>
      <c r="G150" s="14"/>
    </row>
    <row r="152" spans="4:16" x14ac:dyDescent="0.5">
      <c r="E152" s="14"/>
    </row>
    <row r="154" spans="4:16" x14ac:dyDescent="0.5">
      <c r="G154" s="14"/>
    </row>
    <row r="157" spans="4:16" x14ac:dyDescent="0.5">
      <c r="E157" s="14"/>
    </row>
    <row r="158" spans="4:16" x14ac:dyDescent="0.5">
      <c r="D158" s="302"/>
      <c r="E158" s="302"/>
    </row>
    <row r="159" spans="4:16" x14ac:dyDescent="0.5">
      <c r="D159" s="302"/>
      <c r="E159" s="302"/>
      <c r="F159" s="14"/>
    </row>
    <row r="161" spans="2:16" x14ac:dyDescent="0.5">
      <c r="B161" s="36"/>
    </row>
    <row r="162" spans="2:16" x14ac:dyDescent="0.5">
      <c r="B162" s="36"/>
      <c r="C162" s="36"/>
      <c r="F162" s="36"/>
    </row>
    <row r="163" spans="2:16" x14ac:dyDescent="0.5">
      <c r="B163" s="36"/>
      <c r="C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C166" s="36"/>
    </row>
    <row r="169" spans="2:16" x14ac:dyDescent="0.5">
      <c r="D169" s="28"/>
      <c r="K169" s="28"/>
    </row>
    <row r="170" spans="2:16" x14ac:dyDescent="0.5">
      <c r="B170" s="37"/>
      <c r="D170" s="302"/>
      <c r="E170" s="302"/>
      <c r="F170" s="302"/>
      <c r="G170" s="302"/>
      <c r="H170" s="302"/>
      <c r="I170" s="302"/>
      <c r="K170" s="302"/>
      <c r="L170" s="302"/>
      <c r="M170" s="302"/>
      <c r="N170" s="302"/>
      <c r="O170" s="302"/>
      <c r="P170" s="302"/>
    </row>
    <row r="171" spans="2:16" x14ac:dyDescent="0.5">
      <c r="C171" s="37"/>
    </row>
    <row r="175" spans="2:16" x14ac:dyDescent="0.5">
      <c r="D175" s="302"/>
      <c r="E175" s="302"/>
      <c r="F175" s="302"/>
      <c r="G175" s="302"/>
      <c r="H175" s="302"/>
      <c r="I175" s="302"/>
      <c r="K175" s="302"/>
      <c r="L175" s="302"/>
      <c r="M175" s="302"/>
      <c r="N175" s="302"/>
      <c r="O175" s="302"/>
      <c r="P175" s="302"/>
    </row>
    <row r="178" spans="2:16" x14ac:dyDescent="0.5">
      <c r="B178" s="28"/>
    </row>
    <row r="179" spans="2:16" x14ac:dyDescent="0.5">
      <c r="C179" s="28"/>
      <c r="D179" s="28"/>
      <c r="F179" s="38"/>
    </row>
    <row r="181" spans="2:16" x14ac:dyDescent="0.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</row>
    <row r="182" spans="2:16" x14ac:dyDescent="0.5">
      <c r="D182" s="302"/>
      <c r="E182" s="302"/>
      <c r="F182" s="302"/>
      <c r="G182" s="302"/>
      <c r="H182" s="302"/>
      <c r="I182" s="302"/>
      <c r="K182" s="302"/>
      <c r="L182" s="302"/>
      <c r="M182" s="302"/>
      <c r="N182" s="302"/>
      <c r="O182" s="302"/>
      <c r="P182" s="302"/>
    </row>
    <row r="186" spans="2:16" x14ac:dyDescent="0.5">
      <c r="E186" s="14"/>
      <c r="F186" s="28"/>
    </row>
  </sheetData>
  <sheetProtection algorithmName="SHA-512" hashValue="Z3gVV6cyli7ikZcQUXI/MdwnXECeh7Ce2FzJ9Hq6ydA+DBtZj/HVCSOMAAVDkI/b3DgFKQHfI0GSt6WLBR/jWw==" saltValue="kHJOmpDSJqxn5YqZa5MG5A==" spinCount="100000" sheet="1" objects="1" scenarios="1"/>
  <mergeCells count="55">
    <mergeCell ref="D158:E158"/>
    <mergeCell ref="D144:E144"/>
    <mergeCell ref="D145:I145"/>
    <mergeCell ref="D175:I175"/>
    <mergeCell ref="K175:P175"/>
    <mergeCell ref="D170:I170"/>
    <mergeCell ref="K170:P170"/>
    <mergeCell ref="D159:E159"/>
    <mergeCell ref="D103:I103"/>
    <mergeCell ref="D138:E138"/>
    <mergeCell ref="D141:P141"/>
    <mergeCell ref="D139:E139"/>
    <mergeCell ref="D140:E140"/>
    <mergeCell ref="K103:P103"/>
    <mergeCell ref="D108:E108"/>
    <mergeCell ref="D107:E107"/>
    <mergeCell ref="D119:F119"/>
    <mergeCell ref="D112:I112"/>
    <mergeCell ref="K112:P112"/>
    <mergeCell ref="D116:E116"/>
    <mergeCell ref="D117:E117"/>
    <mergeCell ref="D118:E118"/>
    <mergeCell ref="D77:E77"/>
    <mergeCell ref="D95:E95"/>
    <mergeCell ref="D96:F96"/>
    <mergeCell ref="D78:E78"/>
    <mergeCell ref="D79:E79"/>
    <mergeCell ref="D80:F80"/>
    <mergeCell ref="D88:I88"/>
    <mergeCell ref="B1:P1"/>
    <mergeCell ref="K9:P9"/>
    <mergeCell ref="D64:E64"/>
    <mergeCell ref="D66:E66"/>
    <mergeCell ref="B5:B6"/>
    <mergeCell ref="K5:P5"/>
    <mergeCell ref="D65:E65"/>
    <mergeCell ref="C5:I5"/>
    <mergeCell ref="C9:H9"/>
    <mergeCell ref="B38:G38"/>
    <mergeCell ref="D182:I182"/>
    <mergeCell ref="K182:P182"/>
    <mergeCell ref="K145:P145"/>
    <mergeCell ref="D67:F67"/>
    <mergeCell ref="D70:I70"/>
    <mergeCell ref="K70:P70"/>
    <mergeCell ref="D74:E74"/>
    <mergeCell ref="K88:P88"/>
    <mergeCell ref="D92:E92"/>
    <mergeCell ref="D93:E93"/>
    <mergeCell ref="D94:E94"/>
    <mergeCell ref="D76:E76"/>
    <mergeCell ref="D130:E130"/>
    <mergeCell ref="D143:E143"/>
    <mergeCell ref="D137:E137"/>
    <mergeCell ref="D75:E75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showGridLines="0" workbookViewId="0">
      <selection activeCell="U18" sqref="U18"/>
    </sheetView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10" x14ac:dyDescent="0.35">
      <c r="C1" s="71" t="s">
        <v>2</v>
      </c>
      <c r="D1" s="69">
        <f>SUM(D4:D49)</f>
        <v>51</v>
      </c>
      <c r="E1" s="217"/>
    </row>
    <row r="2" spans="1:10" s="26" customFormat="1" ht="13.15" thickBot="1" x14ac:dyDescent="0.4">
      <c r="E2" s="201"/>
    </row>
    <row r="3" spans="1:10" s="26" customFormat="1" x14ac:dyDescent="0.35">
      <c r="A3" s="313" t="s">
        <v>227</v>
      </c>
      <c r="B3" s="313"/>
      <c r="C3" s="313"/>
      <c r="D3" s="313"/>
      <c r="E3" s="313"/>
      <c r="G3" s="314" t="s">
        <v>228</v>
      </c>
      <c r="H3" s="315"/>
      <c r="I3" s="316"/>
    </row>
    <row r="4" spans="1:10" x14ac:dyDescent="0.35">
      <c r="A4" s="313" t="s">
        <v>222</v>
      </c>
      <c r="B4" s="313"/>
      <c r="C4" s="313"/>
      <c r="D4" s="69" t="s">
        <v>223</v>
      </c>
      <c r="E4" s="69"/>
      <c r="G4" s="74" t="s">
        <v>222</v>
      </c>
      <c r="H4" s="72" t="s">
        <v>117</v>
      </c>
      <c r="I4" s="75" t="s">
        <v>123</v>
      </c>
    </row>
    <row r="5" spans="1:10" x14ac:dyDescent="0.35">
      <c r="A5" s="313" t="s">
        <v>321</v>
      </c>
      <c r="B5" s="313"/>
      <c r="C5" s="313"/>
      <c r="D5" s="69">
        <v>0</v>
      </c>
      <c r="E5" s="218">
        <v>1892</v>
      </c>
      <c r="G5" s="74" t="s">
        <v>320</v>
      </c>
      <c r="H5" s="73">
        <v>45</v>
      </c>
      <c r="I5" s="75">
        <v>4</v>
      </c>
    </row>
    <row r="6" spans="1:10" x14ac:dyDescent="0.35">
      <c r="A6" s="313" t="s">
        <v>316</v>
      </c>
      <c r="B6" s="313"/>
      <c r="C6" s="313"/>
      <c r="D6" s="69">
        <v>0</v>
      </c>
      <c r="E6" s="218">
        <v>1893</v>
      </c>
      <c r="G6" s="74" t="s">
        <v>265</v>
      </c>
      <c r="H6" s="73">
        <v>40</v>
      </c>
      <c r="I6" s="75">
        <v>2</v>
      </c>
    </row>
    <row r="7" spans="1:10" x14ac:dyDescent="0.35">
      <c r="A7" s="313" t="s">
        <v>328</v>
      </c>
      <c r="B7" s="313"/>
      <c r="C7" s="313"/>
      <c r="D7" s="69">
        <v>0</v>
      </c>
      <c r="E7" s="218">
        <v>1894</v>
      </c>
      <c r="G7" s="74" t="s">
        <v>269</v>
      </c>
      <c r="H7" s="73">
        <v>60</v>
      </c>
      <c r="I7" s="75">
        <v>3</v>
      </c>
    </row>
    <row r="8" spans="1:10" x14ac:dyDescent="0.35">
      <c r="A8" s="313" t="s">
        <v>323</v>
      </c>
      <c r="B8" s="313"/>
      <c r="C8" s="313"/>
      <c r="D8" s="70">
        <v>23</v>
      </c>
      <c r="E8" s="218">
        <v>1895</v>
      </c>
      <c r="G8" s="74" t="s">
        <v>273</v>
      </c>
      <c r="H8" s="73">
        <v>35</v>
      </c>
      <c r="I8" s="75">
        <v>3</v>
      </c>
    </row>
    <row r="9" spans="1:10" x14ac:dyDescent="0.35">
      <c r="A9" s="313" t="s">
        <v>271</v>
      </c>
      <c r="B9" s="313"/>
      <c r="C9" s="313"/>
      <c r="D9" s="69">
        <v>0</v>
      </c>
      <c r="E9" s="218">
        <v>1895</v>
      </c>
      <c r="G9" s="74" t="s">
        <v>275</v>
      </c>
      <c r="H9" s="73">
        <v>45</v>
      </c>
      <c r="I9" s="75">
        <v>2</v>
      </c>
    </row>
    <row r="10" spans="1:10" x14ac:dyDescent="0.35">
      <c r="A10" s="313" t="s">
        <v>322</v>
      </c>
      <c r="B10" s="313"/>
      <c r="C10" s="313"/>
      <c r="D10" s="70">
        <v>18</v>
      </c>
      <c r="E10" s="218">
        <v>1896</v>
      </c>
      <c r="G10" s="74" t="s">
        <v>340</v>
      </c>
      <c r="H10" s="73">
        <v>60</v>
      </c>
      <c r="I10" s="75">
        <v>1</v>
      </c>
      <c r="J10">
        <v>2</v>
      </c>
    </row>
    <row r="11" spans="1:10" x14ac:dyDescent="0.35">
      <c r="A11" s="313" t="s">
        <v>266</v>
      </c>
      <c r="B11" s="313"/>
      <c r="C11" s="313"/>
      <c r="D11" s="69">
        <v>0</v>
      </c>
      <c r="E11" s="218">
        <v>1897</v>
      </c>
      <c r="G11" s="74" t="s">
        <v>333</v>
      </c>
      <c r="H11" s="73">
        <v>65</v>
      </c>
      <c r="I11" s="75">
        <v>2</v>
      </c>
    </row>
    <row r="12" spans="1:10" x14ac:dyDescent="0.35">
      <c r="A12" s="313" t="s">
        <v>329</v>
      </c>
      <c r="B12" s="313"/>
      <c r="C12" s="313"/>
      <c r="D12" s="69">
        <v>10</v>
      </c>
      <c r="E12" s="218">
        <v>1898</v>
      </c>
      <c r="G12" s="74" t="s">
        <v>334</v>
      </c>
      <c r="H12" s="73">
        <v>65</v>
      </c>
      <c r="I12" s="75">
        <v>2</v>
      </c>
    </row>
    <row r="13" spans="1:10" x14ac:dyDescent="0.35">
      <c r="A13" s="313"/>
      <c r="B13" s="313"/>
      <c r="C13" s="313"/>
      <c r="D13" s="69"/>
      <c r="E13" s="69"/>
      <c r="G13" s="74" t="s">
        <v>335</v>
      </c>
      <c r="H13" s="73">
        <v>65</v>
      </c>
      <c r="I13" s="75">
        <v>2</v>
      </c>
      <c r="J13" s="201"/>
    </row>
    <row r="14" spans="1:10" x14ac:dyDescent="0.35">
      <c r="A14" s="313"/>
      <c r="B14" s="313"/>
      <c r="C14" s="313"/>
      <c r="D14" s="69"/>
      <c r="E14" s="69"/>
      <c r="G14" s="229" t="s">
        <v>359</v>
      </c>
      <c r="H14" s="230">
        <v>65</v>
      </c>
      <c r="I14" s="231">
        <v>1</v>
      </c>
      <c r="J14" s="201">
        <v>2</v>
      </c>
    </row>
    <row r="15" spans="1:10" s="201" customFormat="1" x14ac:dyDescent="0.35">
      <c r="G15" s="229" t="s">
        <v>360</v>
      </c>
      <c r="H15" s="230">
        <v>65</v>
      </c>
      <c r="I15" s="231">
        <v>2</v>
      </c>
    </row>
    <row r="16" spans="1:10" s="201" customFormat="1" x14ac:dyDescent="0.35">
      <c r="G16" s="229" t="s">
        <v>362</v>
      </c>
      <c r="H16" s="230">
        <v>50</v>
      </c>
      <c r="I16" s="231">
        <v>2</v>
      </c>
      <c r="J16"/>
    </row>
    <row r="17" spans="4:10" s="201" customFormat="1" x14ac:dyDescent="0.35">
      <c r="G17" s="229" t="s">
        <v>361</v>
      </c>
      <c r="H17" s="230">
        <v>55</v>
      </c>
      <c r="I17" s="231">
        <v>1</v>
      </c>
      <c r="J17">
        <v>2</v>
      </c>
    </row>
    <row r="18" spans="4:10" ht="13.15" thickBot="1" x14ac:dyDescent="0.4">
      <c r="D18" s="27"/>
      <c r="E18" s="27"/>
      <c r="G18" s="76" t="s">
        <v>330</v>
      </c>
      <c r="H18" s="167">
        <v>50</v>
      </c>
      <c r="I18" s="77">
        <v>2</v>
      </c>
    </row>
    <row r="19" spans="4:10" x14ac:dyDescent="0.35">
      <c r="D19" s="27"/>
      <c r="E19" s="27"/>
      <c r="G19" s="201"/>
      <c r="H19" s="201"/>
      <c r="I19" s="201"/>
    </row>
    <row r="20" spans="4:10" x14ac:dyDescent="0.35">
      <c r="D20" s="27"/>
      <c r="E20" s="27"/>
    </row>
    <row r="21" spans="4:10" x14ac:dyDescent="0.35">
      <c r="D21" s="27"/>
      <c r="E21" s="27"/>
    </row>
    <row r="22" spans="4:10" x14ac:dyDescent="0.35">
      <c r="D22" s="27"/>
      <c r="E22" s="27"/>
    </row>
    <row r="23" spans="4:10" x14ac:dyDescent="0.35">
      <c r="D23" s="27"/>
      <c r="E23" s="27"/>
    </row>
    <row r="24" spans="4:10" x14ac:dyDescent="0.35">
      <c r="D24" s="27"/>
      <c r="E24" s="27"/>
    </row>
    <row r="25" spans="4:10" x14ac:dyDescent="0.35">
      <c r="D25" s="27"/>
      <c r="E25" s="27"/>
    </row>
    <row r="26" spans="4:10" x14ac:dyDescent="0.35">
      <c r="D26" s="27"/>
      <c r="E26" s="27"/>
    </row>
    <row r="27" spans="4:10" x14ac:dyDescent="0.35">
      <c r="D27" s="27"/>
      <c r="E27" s="27"/>
    </row>
    <row r="28" spans="4:10" x14ac:dyDescent="0.35">
      <c r="D28" s="27"/>
      <c r="E28" s="27"/>
    </row>
    <row r="29" spans="4:10" x14ac:dyDescent="0.35">
      <c r="D29" s="27"/>
      <c r="E29" s="27"/>
    </row>
    <row r="30" spans="4:10" x14ac:dyDescent="0.35">
      <c r="D30" s="27"/>
      <c r="E30" s="27"/>
    </row>
    <row r="31" spans="4:10" x14ac:dyDescent="0.35">
      <c r="D31" s="27"/>
      <c r="E31" s="27"/>
    </row>
    <row r="32" spans="4:10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  <row r="39" spans="4:5" x14ac:dyDescent="0.35">
      <c r="D39" s="27"/>
      <c r="E39" s="27"/>
    </row>
  </sheetData>
  <sheetProtection algorithmName="SHA-512" hashValue="kD8IXa781PB8+b/4qOc6NNQKvjYvtJsgxLkpZk9u6OCjtlSez3RaSNmEWMEV/o1SVy+y6wbXGg5IgYW4HflPnQ==" saltValue="AnN3JhDMQ/55yqOrmwlXHA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73046875" style="1" customWidth="1"/>
    <col min="11" max="12" width="9.1328125" style="1"/>
    <col min="13" max="13" width="9.59765625" style="1" customWidth="1"/>
    <col min="14" max="14" width="9.1328125" style="1"/>
    <col min="15" max="15" width="10.86328125" style="1" customWidth="1"/>
    <col min="16" max="16" width="14.265625" style="1" customWidth="1"/>
    <col min="17" max="17" width="10.73046875" style="1" bestFit="1" customWidth="1"/>
    <col min="18" max="19" width="9.1328125" style="1"/>
    <col min="20" max="20" width="11.265625" style="1" customWidth="1"/>
    <col min="21" max="16384" width="9.1328125" style="1"/>
  </cols>
  <sheetData>
    <row r="1" spans="1:21" x14ac:dyDescent="0.5">
      <c r="D1" s="1" t="s">
        <v>25</v>
      </c>
      <c r="I1" s="317" t="s">
        <v>26</v>
      </c>
      <c r="P1" s="317" t="s">
        <v>29</v>
      </c>
      <c r="Q1" s="317" t="s">
        <v>30</v>
      </c>
    </row>
    <row r="2" spans="1:21" x14ac:dyDescent="0.5">
      <c r="I2" s="31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17"/>
      <c r="Q2" s="31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178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179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180</v>
      </c>
      <c r="U6" s="2">
        <v>20</v>
      </c>
    </row>
    <row r="7" spans="1:21" x14ac:dyDescent="0.5">
      <c r="D7" s="1" t="s">
        <v>23</v>
      </c>
      <c r="T7" s="1" t="s">
        <v>181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18" t="s">
        <v>45</v>
      </c>
      <c r="K11" s="318"/>
      <c r="L11" s="318"/>
      <c r="M11" s="318"/>
      <c r="N11" s="31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0.66</v>
      </c>
      <c r="P24" s="4">
        <f>IF(Econ!F81&lt;1,1,((O24-1)/Econ!E81))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0.66</v>
      </c>
      <c r="P28" s="4">
        <f>IF(Econ!F84&lt;1,1,((O28-1)/Econ!E84))</f>
        <v>-1.0303030303030301</v>
      </c>
      <c r="Q28" s="4">
        <f t="shared" si="4"/>
        <v>2.0303030303030303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167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168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169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2021-06-21T00:40:28Z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