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CD73D707-A1CF-47BA-8107-BDE55FCDD1F3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36" i="4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<sst xmlns="http://schemas.openxmlformats.org/spreadsheetml/2006/main" count="581" uniqueCount="273">
  <si>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</si>
  <si>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</si>
  <si>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</si>
  <si>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</si>
  <si>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</si>
  <si>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</si>
  <si>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</si>
  <si>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</si>
  <si>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</si>
  <si>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</si>
  <si>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</si>
  <si>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</si>
  <si>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</si>
  <si>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</si>
  <si>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</si>
  <si>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</si>
  <si>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</si>
  <si>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</si>
  <si>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</si>
  <si>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</si>
  <si>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</si>
  <si>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</si>
  <si>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</si>
  <si>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</si>
  <si>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</si>
  <si>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</si>
  <si>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</si>
  <si>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</si>
  <si>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</si>
  <si>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</si>
  <si>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</si>
  <si>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</si>
  <si>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</si>
  <si>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</si>
  <si>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</si>
  <si>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</si>
  <si>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</si>
  <si>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</si>
  <si>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</si>
  <si>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</si>
  <si>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</si>
  <si>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</si>
  <si>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</si>
  <si>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</si>
  <si>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</si>
  <si>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</si>
  <si>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</si>
  <si>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</si>
  <si>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</si>
  <si>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</si>
  <si>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</si>
  <si>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</si>
  <si>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</si>
  <si>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</si>
  <si>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</si>
  <si>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</si>
  <si>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</si>
  <si>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</si>
  <si>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</si>
  <si>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</si>
  <si>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</si>
  <si>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</si>
  <si>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</si>
  <si>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</si>
  <si>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</si>
  <si>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</si>
  <si>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</si>
  <si>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</si>
  <si>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</si>
  <si>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</si>
  <si>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</si>
  <si>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</si>
  <si>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</si>
  <si>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</si>
  <si>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</si>
  <si>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</si>
  <si>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</si>
  <si>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</si>
  <si>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</si>
  <si>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</si>
  <si>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</si>
  <si>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</si>
  <si>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</si>
  <si>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</si>
  <si>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</si>
  <si>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</si>
  <si>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</si>
  <si>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</si>
  <si>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</si>
  <si>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</si>
  <si>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</si>
  <si>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</si>
  <si>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</si>
  <si>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</si>
  <si>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</si>
  <si>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</si>
  <si>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</si>
  <si>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</si>
  <si>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</si>
  <si>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</si>
  <si>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</si>
  <si>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</si>
  <si>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</si>
  <si>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</si>
  <si>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</si>
  <si>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</si>
  <si>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</si>
  <si>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</si>
  <si>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</si>
  <si>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</si>
  <si>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</si>
  <si>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</si>
  <si>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</si>
  <si>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</si>
  <si>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</si>
  <si>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</si>
  <si>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</si>
  <si>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</si>
  <si>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</si>
  <si>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</si>
  <si>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</si>
  <si>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</si>
  <si>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</si>
  <si>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</si>
  <si>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</si>
  <si>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</si>
  <si>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</si>
  <si>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</si>
  <si>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</si>
  <si>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</si>
  <si>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</si>
  <si>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</si>
  <si>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</si>
  <si>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</si>
  <si>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</si>
  <si>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</si>
  <si>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</si>
  <si>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</si>
  <si>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</si>
  <si>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</si>
  <si>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</si>
  <si>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</si>
  <si>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</si>
  <si>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</si>
  <si>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</si>
  <si>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</si>
  <si>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</si>
  <si>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</si>
  <si>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</si>
  <si>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</si>
  <si>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</si>
  <si>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</si>
  <si>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</si>
  <si>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</si>
  <si>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</si>
  <si>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</si>
  <si>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</si>
  <si>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</si>
  <si>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</si>
  <si>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</si>
  <si>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</si>
  <si>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</si>
  <si>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</si>
  <si>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</si>
  <si>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</si>
  <si>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</si>
  <si>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</si>
  <si>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</si>
  <si>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</si>
  <si>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</si>
  <si>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</si>
  <si>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</si>
  <si>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</si>
  <si>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</si>
  <si>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</si>
  <si>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</si>
  <si>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</si>
  <si>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</si>
  <si>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</si>
  <si>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</si>
  <si>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</si>
  <si>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</si>
  <si>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</si>
  <si>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</si>
  <si>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</si>
  <si>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</si>
  <si>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</si>
  <si>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</si>
  <si>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</si>
  <si>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</si>
  <si>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</si>
  <si>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</si>
  <si>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</si>
  <si>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</si>
  <si>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</si>
  <si>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</si>
  <si>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</si>
  <si>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</si>
  <si>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</si>
  <si>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</si>
  <si>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</si>
  <si>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</si>
  <si>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</si>
  <si>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</si>
  <si>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</si>
  <si>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</si>
  <si>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</si>
  <si>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</si>
  <si>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</si>
  <si>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</si>
  <si>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</si>
  <si>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</si>
  <si>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</si>
  <si>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</si>
  <si>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</si>
  <si>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</si>
  <si>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</si>
  <si>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</si>
  <si>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</si>
  <si>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</si>
  <si>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</si>
  <si>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</si>
  <si>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</si>
  <si>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</si>
  <si>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</si>
  <si>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</si>
  <si>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</si>
  <si>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</si>
  <si>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</si>
  <si>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</si>
  <si>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</si>
  <si>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</si>
  <si>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</si>
  <si>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</si>
  <si>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</si>
  <si>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</si>
  <si>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</si>
  <si>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</si>
  <si>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</si>
  <si>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</si>
  <si>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</si>
  <si>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</si>
  <si>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</si>
  <si>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</si>
  <si>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</si>
  <si>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</si>
  <si>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</si>
  <si>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</si>
  <si>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</si>
  <si>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</si>
  <si>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</si>
  <si>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</si>
  <si>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</si>
  <si>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</si>
  <si>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</si>
  <si>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</si>
  <si>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</si>
  <si>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</si>
  <si>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</si>
  <si>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</si>
  <si>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</si>
  <si>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</si>
  <si>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</si>
  <si>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</si>
  <si>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</si>
  <si>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</si>
  <si>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</si>
  <si>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</si>
  <si>
    <t>Industria en Eritrea</t>
  </si>
  <si>
    <t>(AM) Ametralladoras B</t>
  </si>
  <si>
    <t>Comida en Libia</t>
  </si>
  <si>
    <t>Año</t>
  </si>
  <si>
    <t>Expansión Nacional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</si>
</sst>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6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90" t="s">
        <v>230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245</v>
      </c>
      <c r="G3" s="86" t="s">
        <v>76</v>
      </c>
      <c r="H3" s="86">
        <v>1898</v>
      </c>
    </row>
    <row r="4" spans="1:16" ht="18" thickBot="1" x14ac:dyDescent="0.55000000000000004">
      <c r="A4" s="86" t="s">
        <v>62</v>
      </c>
      <c r="B4" s="86">
        <v>31.22</v>
      </c>
      <c r="C4" s="87"/>
      <c r="G4" s="86" t="s">
        <v>77</v>
      </c>
      <c r="H4" s="86" t="s">
        <v>246</v>
      </c>
    </row>
    <row r="5" spans="1:16" ht="18" thickBot="1" x14ac:dyDescent="0.55000000000000004">
      <c r="A5" s="86" t="s">
        <v>63</v>
      </c>
      <c r="B5" s="88">
        <f>B4-Militar!P12</f>
        <v>26.71</v>
      </c>
    </row>
    <row r="6" spans="1:16" ht="18" thickBot="1" x14ac:dyDescent="0.55000000000000004">
      <c r="A6" s="86" t="s">
        <v>64</v>
      </c>
      <c r="B6" s="86" t="s">
        <v>67</v>
      </c>
      <c r="E6" s="179"/>
    </row>
    <row r="7" spans="1:16" ht="18" thickBot="1" x14ac:dyDescent="0.55000000000000004">
      <c r="A7" s="187" t="s">
        <v>65</v>
      </c>
      <c r="B7" s="189"/>
      <c r="G7" s="192" t="s">
        <v>78</v>
      </c>
      <c r="H7" s="192"/>
      <c r="I7" s="89">
        <v>0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173.61500000000001</v>
      </c>
      <c r="C8" s="91"/>
      <c r="G8" s="192" t="s">
        <v>79</v>
      </c>
      <c r="H8" s="192"/>
      <c r="I8" s="89">
        <f>I7*J13</f>
        <v>0</v>
      </c>
    </row>
    <row r="9" spans="1:16" ht="18" thickBot="1" x14ac:dyDescent="0.55000000000000004">
      <c r="A9" s="86" t="s">
        <v>73</v>
      </c>
      <c r="B9" s="89">
        <f>Colonias!C7+Ferrocarriles!D1</f>
        <v>35</v>
      </c>
      <c r="C9" s="91"/>
      <c r="H9" s="86" t="s">
        <v>2</v>
      </c>
      <c r="I9" s="89">
        <f>SUM(I7:I8)</f>
        <v>0</v>
      </c>
      <c r="J9" s="92"/>
    </row>
    <row r="10" spans="1:16" ht="18" thickBot="1" x14ac:dyDescent="0.55000000000000004">
      <c r="A10" s="86" t="s">
        <v>74</v>
      </c>
      <c r="B10" s="89">
        <v>54</v>
      </c>
    </row>
    <row r="11" spans="1:16" ht="18" thickBot="1" x14ac:dyDescent="0.55000000000000004">
      <c r="A11" s="86" t="s">
        <v>75</v>
      </c>
      <c r="B11" s="89">
        <f>Militar!O12</f>
        <v>32</v>
      </c>
      <c r="J11" s="93"/>
      <c r="K11" s="193"/>
    </row>
    <row r="12" spans="1:16" ht="19.5" customHeight="1" thickBot="1" x14ac:dyDescent="0.55000000000000004">
      <c r="A12" s="93"/>
      <c r="B12" s="94"/>
      <c r="C12" s="93"/>
      <c r="D12" s="193"/>
      <c r="G12" s="191"/>
      <c r="H12" s="191"/>
      <c r="I12" s="95"/>
      <c r="J12" s="86" t="s">
        <v>81</v>
      </c>
      <c r="K12" s="193"/>
    </row>
    <row r="13" spans="1:16" ht="18" thickBot="1" x14ac:dyDescent="0.55000000000000004">
      <c r="A13" s="93"/>
      <c r="B13" s="94"/>
      <c r="C13" s="93"/>
      <c r="D13" s="193"/>
      <c r="G13" s="192" t="s">
        <v>80</v>
      </c>
      <c r="H13" s="192"/>
      <c r="I13" s="86" t="s">
        <v>21</v>
      </c>
      <c r="J13" s="96">
        <v>0.25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230.61500000000001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90" t="s">
        <v>232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94" t="s">
        <v>86</v>
      </c>
      <c r="J20" s="194"/>
      <c r="K20" s="194"/>
      <c r="L20" s="194"/>
      <c r="M20" s="194"/>
      <c r="N20" s="194"/>
    </row>
    <row r="21" spans="1:17" ht="18.399999999999999" thickTop="1" thickBot="1" x14ac:dyDescent="0.55000000000000004">
      <c r="A21" s="86" t="s">
        <v>82</v>
      </c>
      <c r="B21" s="86">
        <v>6</v>
      </c>
      <c r="C21" s="86">
        <v>11</v>
      </c>
      <c r="D21" s="86">
        <v>3</v>
      </c>
      <c r="E21" s="86">
        <v>0</v>
      </c>
      <c r="F21" s="86">
        <v>0</v>
      </c>
      <c r="G21" s="86">
        <v>0</v>
      </c>
      <c r="I21" s="98"/>
      <c r="J21" s="98"/>
      <c r="K21" s="194" t="s">
        <v>89</v>
      </c>
      <c r="L21" s="194"/>
      <c r="M21" s="194" t="s">
        <v>90</v>
      </c>
      <c r="N21" s="194"/>
    </row>
    <row r="22" spans="1:17" ht="18.399999999999999" thickTop="1" thickBot="1" x14ac:dyDescent="0.55000000000000004">
      <c r="A22" s="86" t="s">
        <v>83</v>
      </c>
      <c r="B22" s="86">
        <v>1</v>
      </c>
      <c r="C22" s="86">
        <v>1</v>
      </c>
      <c r="D22" s="86">
        <v>1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7</v>
      </c>
      <c r="C23" s="86">
        <f t="shared" ref="C23:G23" si="0">SUM(C21:C22)</f>
        <v>12</v>
      </c>
      <c r="D23" s="86">
        <f t="shared" si="0"/>
        <v>4</v>
      </c>
      <c r="E23" s="86">
        <f t="shared" si="0"/>
        <v>0</v>
      </c>
      <c r="F23" s="86">
        <f t="shared" si="0"/>
        <v>0</v>
      </c>
      <c r="G23" s="86">
        <f t="shared" si="0"/>
        <v>0</v>
      </c>
      <c r="I23" s="98" t="s">
        <v>91</v>
      </c>
      <c r="J23" s="99">
        <v>27</v>
      </c>
      <c r="K23" s="99">
        <f>J23+(J23*0.3)</f>
        <v>35.1</v>
      </c>
      <c r="L23" s="99">
        <f>J23-(J23*0.3)</f>
        <v>18.899999999999999</v>
      </c>
      <c r="M23" s="99">
        <f>J23-(J23*0.2)</f>
        <v>21.6</v>
      </c>
      <c r="N23" s="99">
        <f>J23+(J23*0.2)</f>
        <v>32.4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4.46</v>
      </c>
      <c r="C24" s="100">
        <f>ROUNDUP(B4/(VLOOKUP(B6,Econ_chart,3,FALSE)),0)</f>
        <v>12</v>
      </c>
      <c r="D24" s="100">
        <v>0</v>
      </c>
      <c r="E24" s="100">
        <f>ROUNDUP(B4/(VLOOKUP(B6,Econ_chart,4,FALSE)),0)</f>
        <v>4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-4.46</v>
      </c>
      <c r="C25" s="102">
        <f>C21-C24</f>
        <v>-1</v>
      </c>
      <c r="D25" s="103">
        <f>D23</f>
        <v>4</v>
      </c>
      <c r="E25" s="102">
        <f>E23-E24</f>
        <v>-4</v>
      </c>
      <c r="F25" s="103">
        <f>F23</f>
        <v>0</v>
      </c>
      <c r="G25" s="103">
        <f>G23</f>
        <v>0</v>
      </c>
      <c r="I25" s="98" t="s">
        <v>93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265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268</v>
      </c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270</v>
      </c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5" t="s">
        <v>98</v>
      </c>
      <c r="P29" s="195"/>
      <c r="Q29" s="195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1</v>
      </c>
      <c r="F32" s="178">
        <f>SUM(Colonias!H7)</f>
        <v>0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1</v>
      </c>
      <c r="F34" s="107">
        <f t="shared" si="5"/>
        <v>0</v>
      </c>
      <c r="G34" s="107">
        <f t="shared" si="5"/>
        <v>0</v>
      </c>
      <c r="H34" s="92" t="s">
        <v>222</v>
      </c>
    </row>
    <row r="35" spans="1:16" ht="18" thickBot="1" x14ac:dyDescent="0.55000000000000004">
      <c r="A35" s="86" t="s">
        <v>105</v>
      </c>
      <c r="B35" s="107">
        <f>B33-B51</f>
        <v>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90" t="s">
        <v>231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264</v>
      </c>
      <c r="B41" s="147"/>
      <c r="C41" s="147"/>
      <c r="D41" s="147"/>
      <c r="E41" s="147"/>
      <c r="F41" s="147"/>
      <c r="G41" s="147"/>
      <c r="H41" s="147">
        <v>33</v>
      </c>
      <c r="J41" s="147"/>
      <c r="K41" s="147"/>
      <c r="L41" s="147"/>
      <c r="M41" s="147">
        <v>3</v>
      </c>
      <c r="N41" s="147"/>
      <c r="O41" s="147"/>
      <c r="P41" s="147">
        <v>0</v>
      </c>
    </row>
    <row r="42" spans="1:16" x14ac:dyDescent="0.5">
      <c r="A42" s="146"/>
      <c r="B42" s="147"/>
      <c r="C42" s="147"/>
      <c r="D42" s="147"/>
      <c r="E42" s="147"/>
      <c r="F42" s="147"/>
      <c r="G42" s="147"/>
      <c r="H42" s="147"/>
      <c r="J42" s="147"/>
      <c r="K42" s="147"/>
      <c r="L42" s="147"/>
      <c r="M42" s="147"/>
      <c r="N42" s="147"/>
      <c r="O42" s="147"/>
      <c r="P42" s="147"/>
    </row>
    <row r="43" spans="1:16" x14ac:dyDescent="0.5">
      <c r="A43" s="146" t="s">
        <v>267</v>
      </c>
      <c r="B43" s="147"/>
      <c r="C43" s="147"/>
      <c r="D43" s="147"/>
      <c r="E43" s="147"/>
      <c r="F43" s="147"/>
      <c r="G43" s="147"/>
      <c r="H43" s="148">
        <v>42</v>
      </c>
      <c r="J43" s="147"/>
      <c r="K43" s="147"/>
      <c r="L43" s="147"/>
      <c r="M43" s="147">
        <v>2</v>
      </c>
      <c r="N43" s="147">
        <v>1</v>
      </c>
      <c r="O43" s="147">
        <v>1</v>
      </c>
      <c r="P43" s="147">
        <v>0</v>
      </c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0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-75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0</v>
      </c>
      <c r="M53" s="107">
        <f t="shared" si="8"/>
        <v>5</v>
      </c>
      <c r="N53" s="107">
        <f t="shared" si="8"/>
        <v>1</v>
      </c>
      <c r="O53" s="107">
        <f t="shared" si="8"/>
        <v>1</v>
      </c>
      <c r="P53" s="112">
        <f xml:space="preserve"> SUM(P41:P51)-P52</f>
        <v>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Colonias!D48</f>
        <v>0</v>
      </c>
      <c r="C55" s="86">
        <f>Colonias!E48</f>
        <v>0</v>
      </c>
      <c r="D55" s="86">
        <f>Colonias!F48</f>
        <v>0</v>
      </c>
      <c r="E55" s="86">
        <f>Colonias!G48</f>
        <v>0</v>
      </c>
      <c r="F55" s="86">
        <f>Colonias!H48</f>
        <v>0</v>
      </c>
      <c r="G55" s="86">
        <f>Colonias!I48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-4.46</v>
      </c>
      <c r="C56" s="100">
        <f t="shared" si="9"/>
        <v>-1</v>
      </c>
      <c r="D56" s="100">
        <f t="shared" si="9"/>
        <v>4</v>
      </c>
      <c r="E56" s="100">
        <f t="shared" si="9"/>
        <v>1</v>
      </c>
      <c r="F56" s="100">
        <f t="shared" si="9"/>
        <v>1</v>
      </c>
      <c r="G56" s="100">
        <f t="shared" si="9"/>
        <v>1</v>
      </c>
      <c r="H56" s="115">
        <f>B15+H53+P53</f>
        <v>155.61500000000001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-4.46</v>
      </c>
      <c r="C64" s="100">
        <f>C56</f>
        <v>-1</v>
      </c>
      <c r="D64" s="100">
        <f>D56-D60</f>
        <v>4</v>
      </c>
      <c r="E64" s="100">
        <f>E63+E56</f>
        <v>1</v>
      </c>
      <c r="F64" s="100">
        <f>F56-F61-F62</f>
        <v>1</v>
      </c>
      <c r="G64" s="100">
        <f>G56-G61-G62</f>
        <v>1</v>
      </c>
      <c r="H64" s="115">
        <f>H56-H63</f>
        <v>155.61500000000001</v>
      </c>
      <c r="I64" s="86">
        <f>B23-I60-I61-I62-I63</f>
        <v>7</v>
      </c>
    </row>
    <row r="66" spans="1:16" x14ac:dyDescent="0.5">
      <c r="A66" s="190" t="s">
        <v>137</v>
      </c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07" t="s">
        <v>127</v>
      </c>
      <c r="B69" s="207" t="s">
        <v>117</v>
      </c>
      <c r="C69" s="207" t="s">
        <v>244</v>
      </c>
      <c r="D69" s="207" t="s">
        <v>126</v>
      </c>
      <c r="E69" s="196" t="s">
        <v>119</v>
      </c>
      <c r="F69" s="196" t="s">
        <v>118</v>
      </c>
      <c r="G69" s="200" t="s">
        <v>117</v>
      </c>
      <c r="H69" s="200" t="s">
        <v>121</v>
      </c>
    </row>
    <row r="70" spans="1:16" ht="18" thickBot="1" x14ac:dyDescent="0.55000000000000004">
      <c r="A70" s="208"/>
      <c r="B70" s="208"/>
      <c r="C70" s="208"/>
      <c r="D70" s="208"/>
      <c r="E70" s="197"/>
      <c r="F70" s="197"/>
      <c r="G70" s="201"/>
      <c r="H70" s="201"/>
    </row>
    <row r="71" spans="1:16" ht="18" thickBot="1" x14ac:dyDescent="0.55000000000000004">
      <c r="A71" s="86" t="s">
        <v>135</v>
      </c>
      <c r="B71" s="89">
        <v>85</v>
      </c>
      <c r="C71" s="96">
        <v>0</v>
      </c>
      <c r="D71" s="149" t="s">
        <v>10</v>
      </c>
      <c r="E71" s="96">
        <f>IF(H71="Si",0.4,0.33)</f>
        <v>0.4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120</v>
      </c>
      <c r="I71" s="119"/>
    </row>
    <row r="72" spans="1:16" ht="18" thickBot="1" x14ac:dyDescent="0.55000000000000004">
      <c r="A72" s="176" t="s">
        <v>135</v>
      </c>
      <c r="B72" s="89">
        <v>90</v>
      </c>
      <c r="C72" s="96">
        <v>0</v>
      </c>
      <c r="D72" s="149" t="s">
        <v>10</v>
      </c>
      <c r="E72" s="96">
        <f t="shared" ref="E72:E81" si="10">IF(H72="Si",0.4,0.33)</f>
        <v>0.4</v>
      </c>
      <c r="F72" s="96" t="str">
        <f t="shared" ref="F72:F81" si="11">IF(D72="Si",(IF((C72+E72)&gt;1,1,(C72+E72)))," ")</f>
        <v xml:space="preserve"> </v>
      </c>
      <c r="G72" s="89" t="str">
        <f t="shared" ref="G72:G81" si="12">IF(D72="Continue",5,(IF(D72="Si",(IF((C72+E72)&gt;1,5,B72))," ")))</f>
        <v xml:space="preserve"> </v>
      </c>
      <c r="H72" s="181" t="s">
        <v>120</v>
      </c>
      <c r="I72" s="119"/>
    </row>
    <row r="73" spans="1:16" s="151" customFormat="1" ht="18" thickBot="1" x14ac:dyDescent="0.55000000000000004">
      <c r="A73" s="150" t="s">
        <v>92</v>
      </c>
      <c r="B73" s="89">
        <v>65</v>
      </c>
      <c r="C73" s="96">
        <v>0</v>
      </c>
      <c r="D73" s="149" t="s">
        <v>10</v>
      </c>
      <c r="E73" s="96">
        <f t="shared" si="10"/>
        <v>0.4</v>
      </c>
      <c r="F73" s="96" t="str">
        <f t="shared" si="11"/>
        <v xml:space="preserve"> </v>
      </c>
      <c r="G73" s="89" t="str">
        <f t="shared" si="12"/>
        <v xml:space="preserve"> </v>
      </c>
      <c r="H73" s="181" t="s">
        <v>120</v>
      </c>
      <c r="I73" s="119"/>
      <c r="J73" s="180"/>
    </row>
    <row r="74" spans="1:16" s="151" customFormat="1" ht="18" thickBot="1" x14ac:dyDescent="0.55000000000000004">
      <c r="A74" s="150" t="s">
        <v>95</v>
      </c>
      <c r="B74" s="89">
        <v>90</v>
      </c>
      <c r="C74" s="96">
        <v>0</v>
      </c>
      <c r="D74" s="149" t="s">
        <v>10</v>
      </c>
      <c r="E74" s="96">
        <f t="shared" si="10"/>
        <v>0.4</v>
      </c>
      <c r="F74" s="96" t="str">
        <f t="shared" si="11"/>
        <v xml:space="preserve"> </v>
      </c>
      <c r="G74" s="89" t="str">
        <f t="shared" si="12"/>
        <v xml:space="preserve"> </v>
      </c>
      <c r="H74" s="181" t="s">
        <v>120</v>
      </c>
      <c r="I74" s="119"/>
    </row>
    <row r="75" spans="1:16" s="151" customFormat="1" ht="18" thickBot="1" x14ac:dyDescent="0.55000000000000004">
      <c r="A75" s="150" t="s">
        <v>96</v>
      </c>
      <c r="B75" s="89">
        <v>100</v>
      </c>
      <c r="C75" s="96">
        <v>0</v>
      </c>
      <c r="D75" s="149" t="s">
        <v>10</v>
      </c>
      <c r="E75" s="96">
        <f t="shared" si="10"/>
        <v>0.4</v>
      </c>
      <c r="F75" s="96" t="str">
        <f t="shared" si="11"/>
        <v xml:space="preserve"> </v>
      </c>
      <c r="G75" s="89" t="str">
        <f t="shared" si="12"/>
        <v xml:space="preserve"> </v>
      </c>
      <c r="H75" s="181" t="s">
        <v>120</v>
      </c>
      <c r="I75" s="119"/>
    </row>
    <row r="76" spans="1:16" s="151" customFormat="1" ht="18" thickBot="1" x14ac:dyDescent="0.55000000000000004">
      <c r="A76" s="150" t="s">
        <v>99</v>
      </c>
      <c r="B76" s="89">
        <v>70</v>
      </c>
      <c r="C76" s="96">
        <v>0</v>
      </c>
      <c r="D76" s="149" t="s">
        <v>10</v>
      </c>
      <c r="E76" s="96">
        <f t="shared" si="10"/>
        <v>0.4</v>
      </c>
      <c r="F76" s="96" t="str">
        <f t="shared" si="11"/>
        <v xml:space="preserve"> </v>
      </c>
      <c r="G76" s="89" t="str">
        <f t="shared" si="12"/>
        <v xml:space="preserve"> </v>
      </c>
      <c r="H76" s="181" t="s">
        <v>120</v>
      </c>
      <c r="I76" s="119"/>
    </row>
    <row r="77" spans="1:16" ht="18" thickBot="1" x14ac:dyDescent="0.55000000000000004">
      <c r="A77" s="146"/>
      <c r="B77" s="89" t="str">
        <f>IF(A77="","",VLOOKUP(A77,Colonias!$B$35:$E$38,4,FALSE))</f>
        <v/>
      </c>
      <c r="C77" s="96">
        <f>IF(A77="",0,VLOOKUP(A77,Colonias!$B$35:$F$38,5,FALSE))</f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86" t="str">
        <f>IF(A77="","No",VLOOKUP(A77,Colonias!$B$35:$G$38,6,FALSE))</f>
        <v>No</v>
      </c>
      <c r="I77" s="87"/>
    </row>
    <row r="78" spans="1:16" ht="18" thickBot="1" x14ac:dyDescent="0.55000000000000004">
      <c r="A78" s="146"/>
      <c r="B78" s="89" t="str">
        <f>IF(A78="","",VLOOKUP(A78,Colonias!$B$35:$E$38,4,FALSE))</f>
        <v/>
      </c>
      <c r="C78" s="96">
        <f>IF(A78="",0,VLOOKUP(A78,Colonias!$B$35:$F$38,5,FALSE))</f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50" t="str">
        <f>IF(A78="","No",VLOOKUP(A78,Colonias!$B$35:$G$38,6,FALSE))</f>
        <v>No</v>
      </c>
      <c r="I78" s="87"/>
    </row>
    <row r="79" spans="1:16" ht="18" thickBot="1" x14ac:dyDescent="0.55000000000000004">
      <c r="A79" s="146"/>
      <c r="B79" s="89" t="str">
        <f>IF(A79="","",VLOOKUP(A79,Colonias!$B$35:$E$38,4,FALSE))</f>
        <v/>
      </c>
      <c r="C79" s="96">
        <f>IF(A79="",0,VLOOKUP(A79,Colonias!$B$35:$F$38,5,FALSE))</f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50" t="str">
        <f>IF(A79="","No",VLOOKUP(A79,Colonias!$B$35:$G$38,6,FALSE))</f>
        <v>No</v>
      </c>
      <c r="I79" s="87"/>
    </row>
    <row r="80" spans="1:16" ht="18" thickBot="1" x14ac:dyDescent="0.55000000000000004">
      <c r="A80" s="146"/>
      <c r="B80" s="89" t="str">
        <f>IF(A80="","",VLOOKUP(A80,Colonias!$B$35:$E$38,4,FALSE))</f>
        <v/>
      </c>
      <c r="C80" s="96">
        <f>IF(A80="",0,VLOOKUP(A80,Colonias!$B$35:$F$38,5,FALSE))</f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50" t="str">
        <f>IF(A80="","No",VLOOKUP(A80,Colonias!$B$35:$G$38,6,FALSE))</f>
        <v>No</v>
      </c>
      <c r="I80" s="87"/>
    </row>
    <row r="81" spans="1:9" ht="18" thickBot="1" x14ac:dyDescent="0.55000000000000004">
      <c r="A81" s="146"/>
      <c r="B81" s="89" t="str">
        <f>IF(A81="","",VLOOKUP(A81,Colonias!$B$35:$E$38,4,FALSE))</f>
        <v/>
      </c>
      <c r="C81" s="96">
        <f>IF(A81="",0,VLOOKUP(A81,Colonias!$B$35:$F$38,5,FALSE))</f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50" t="str">
        <f>IF(A81="","No",VLOOKUP(A81,Colonias!$B$35:$G$38,6,FALSE))</f>
        <v>No</v>
      </c>
      <c r="I81" s="87"/>
    </row>
    <row r="82" spans="1:9" ht="18" thickBot="1" x14ac:dyDescent="0.55000000000000004">
      <c r="B82" s="91"/>
      <c r="F82" s="120" t="s">
        <v>2</v>
      </c>
      <c r="G82" s="121">
        <f>SUM(G71:G81)</f>
        <v>0</v>
      </c>
    </row>
    <row r="83" spans="1:9" ht="18" thickBot="1" x14ac:dyDescent="0.55000000000000004">
      <c r="A83" s="122" t="s">
        <v>238</v>
      </c>
      <c r="B83" s="91"/>
      <c r="F83" s="93"/>
      <c r="G83" s="94"/>
    </row>
    <row r="84" spans="1:9" ht="18" thickBot="1" x14ac:dyDescent="0.55000000000000004">
      <c r="A84" s="86" t="s">
        <v>122</v>
      </c>
      <c r="B84" s="86" t="s">
        <v>117</v>
      </c>
      <c r="C84" s="86" t="s">
        <v>123</v>
      </c>
      <c r="D84" s="86" t="s">
        <v>126</v>
      </c>
      <c r="E84" s="86" t="s">
        <v>124</v>
      </c>
      <c r="F84" s="86" t="s">
        <v>117</v>
      </c>
      <c r="G84" s="94"/>
    </row>
    <row r="85" spans="1:9" ht="18" thickBot="1" x14ac:dyDescent="0.55000000000000004">
      <c r="A85" s="146"/>
      <c r="B85" s="89" t="str">
        <f>IF(A85="","",VLOOKUP(A85,Ferrocarriles!$G$5:$I$9,2,FALSE))</f>
        <v/>
      </c>
      <c r="C85" s="86" t="str">
        <f>IF(A85="","",VLOOKUP(A85,Ferrocarriles!$G$5:$I$9,3,FALSE))</f>
        <v/>
      </c>
      <c r="D85" s="157" t="s">
        <v>10</v>
      </c>
      <c r="E85" s="86">
        <f>IF(D85="Si",1,0)</f>
        <v>0</v>
      </c>
      <c r="F85" s="89">
        <f>IF(D85="Si",B85,0)</f>
        <v>0</v>
      </c>
      <c r="G85" s="123"/>
      <c r="H85" s="124"/>
    </row>
    <row r="86" spans="1:9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10</v>
      </c>
      <c r="E86" s="86">
        <f t="shared" ref="E86:E88" si="13">IF(D86="Si",1,0)</f>
        <v>0</v>
      </c>
      <c r="F86" s="89">
        <f t="shared" ref="F86:F88" si="14">IF(D86="Si",B86,0)</f>
        <v>0</v>
      </c>
      <c r="G86" s="123"/>
      <c r="H86" s="124"/>
    </row>
    <row r="87" spans="1:9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10</v>
      </c>
      <c r="E87" s="86">
        <f t="shared" si="13"/>
        <v>0</v>
      </c>
      <c r="F87" s="89">
        <f t="shared" si="14"/>
        <v>0</v>
      </c>
      <c r="G87" s="123"/>
      <c r="H87" s="124"/>
    </row>
    <row r="88" spans="1:9" ht="18" thickBot="1" x14ac:dyDescent="0.55000000000000004">
      <c r="A88" s="146"/>
      <c r="B88" s="89" t="str">
        <f>IF(A88="","",VLOOKUP(A88,Ferrocarriles!$G$5:$I$9,2,FALSE))</f>
        <v/>
      </c>
      <c r="C88" s="150" t="str">
        <f>IF(A88="","",VLOOKUP(A88,Ferrocarriles!$G$5:$I$9,3,FALSE))</f>
        <v/>
      </c>
      <c r="D88" s="157" t="s">
        <v>10</v>
      </c>
      <c r="E88" s="86">
        <f t="shared" si="13"/>
        <v>0</v>
      </c>
      <c r="F88" s="89">
        <f t="shared" si="14"/>
        <v>0</v>
      </c>
      <c r="G88" s="123"/>
      <c r="H88" s="124"/>
    </row>
    <row r="89" spans="1:9" ht="18" thickBot="1" x14ac:dyDescent="0.55000000000000004">
      <c r="B89" s="91"/>
      <c r="D89" s="86" t="s">
        <v>41</v>
      </c>
      <c r="E89" s="86">
        <f>SUM(E85:E88)</f>
        <v>0</v>
      </c>
      <c r="F89" s="89">
        <f>SUM(F85:F88)</f>
        <v>0</v>
      </c>
      <c r="G89" s="94"/>
    </row>
    <row r="90" spans="1:9" x14ac:dyDescent="0.5">
      <c r="B90" s="91"/>
      <c r="D90" s="93"/>
      <c r="E90" s="125" t="str">
        <f>IF(E89&gt;B62,"Need to build more HI points to complete this investment(s)"," ")</f>
        <v xml:space="preserve"> </v>
      </c>
      <c r="F90" s="93"/>
      <c r="G90" s="94"/>
    </row>
    <row r="91" spans="1:9" x14ac:dyDescent="0.5">
      <c r="B91" s="91"/>
      <c r="F91" s="93"/>
      <c r="G91" s="94"/>
    </row>
    <row r="92" spans="1:9" ht="18" thickBot="1" x14ac:dyDescent="0.55000000000000004">
      <c r="A92" s="122" t="s">
        <v>239</v>
      </c>
      <c r="B92" s="91"/>
      <c r="F92" s="91"/>
    </row>
    <row r="93" spans="1:9" ht="18" thickBot="1" x14ac:dyDescent="0.55000000000000004">
      <c r="A93" s="86" t="s">
        <v>125</v>
      </c>
      <c r="B93" s="86" t="s">
        <v>117</v>
      </c>
      <c r="F93" s="89" t="s">
        <v>117</v>
      </c>
      <c r="G93" s="86" t="s">
        <v>122</v>
      </c>
    </row>
    <row r="94" spans="1:9" ht="18" thickBot="1" x14ac:dyDescent="0.55000000000000004">
      <c r="A94" s="158"/>
      <c r="B94" s="159"/>
      <c r="C94" s="87"/>
      <c r="D94" s="119"/>
      <c r="F94" s="89">
        <f>B94</f>
        <v>0</v>
      </c>
      <c r="G94" s="157" t="s">
        <v>10</v>
      </c>
    </row>
    <row r="95" spans="1:9" ht="18" thickBot="1" x14ac:dyDescent="0.55000000000000004">
      <c r="A95" s="158"/>
      <c r="B95" s="159"/>
      <c r="C95" s="87"/>
      <c r="D95" s="113"/>
      <c r="F95" s="89">
        <f>B95</f>
        <v>0</v>
      </c>
      <c r="G95" s="157" t="s">
        <v>10</v>
      </c>
    </row>
    <row r="96" spans="1:9" ht="18" thickBot="1" x14ac:dyDescent="0.55000000000000004">
      <c r="A96" s="158"/>
      <c r="B96" s="159"/>
      <c r="C96" s="87"/>
      <c r="D96" s="124"/>
      <c r="F96" s="89">
        <f>B96</f>
        <v>0</v>
      </c>
      <c r="G96" s="157" t="s">
        <v>10</v>
      </c>
    </row>
    <row r="97" spans="1:7" ht="18" thickBot="1" x14ac:dyDescent="0.55000000000000004">
      <c r="A97" s="158"/>
      <c r="B97" s="159"/>
      <c r="C97" s="87"/>
      <c r="F97" s="89">
        <f>B97</f>
        <v>0</v>
      </c>
      <c r="G97" s="157" t="s">
        <v>10</v>
      </c>
    </row>
    <row r="98" spans="1:7" ht="18" thickBot="1" x14ac:dyDescent="0.55000000000000004">
      <c r="B98" s="91"/>
      <c r="E98" s="86" t="s">
        <v>3</v>
      </c>
      <c r="F98" s="115">
        <f>SUM(F94:F97)</f>
        <v>0</v>
      </c>
    </row>
    <row r="99" spans="1:7" x14ac:dyDescent="0.5">
      <c r="B99" s="91"/>
    </row>
    <row r="100" spans="1:7" ht="18" thickBot="1" x14ac:dyDescent="0.55000000000000004">
      <c r="A100" s="126" t="s">
        <v>236</v>
      </c>
      <c r="B100" s="91"/>
    </row>
    <row r="101" spans="1:7" ht="18" thickBot="1" x14ac:dyDescent="0.55000000000000004">
      <c r="C101" s="86" t="s">
        <v>129</v>
      </c>
      <c r="E101" s="86" t="s">
        <v>130</v>
      </c>
      <c r="F101" s="84" t="s">
        <v>6</v>
      </c>
    </row>
    <row r="102" spans="1:7" ht="18" thickBot="1" x14ac:dyDescent="0.55000000000000004">
      <c r="A102" s="86" t="s">
        <v>128</v>
      </c>
      <c r="B102" s="86" t="s">
        <v>117</v>
      </c>
      <c r="C102" s="86" t="s">
        <v>7</v>
      </c>
      <c r="D102" s="86" t="s">
        <v>126</v>
      </c>
      <c r="E102" s="86" t="s">
        <v>7</v>
      </c>
      <c r="F102" s="89" t="s">
        <v>117</v>
      </c>
    </row>
    <row r="103" spans="1:7" ht="18" thickBot="1" x14ac:dyDescent="0.55000000000000004">
      <c r="A103" s="86" t="s">
        <v>152</v>
      </c>
      <c r="B103" s="89">
        <v>30</v>
      </c>
      <c r="C103" s="96">
        <v>0</v>
      </c>
      <c r="D103" s="157" t="s">
        <v>10</v>
      </c>
      <c r="E103" s="96" t="str">
        <f>IF(D103="Si",(C103+0.2),IF(D103="Continue",(C103)," "))</f>
        <v xml:space="preserve"> </v>
      </c>
      <c r="F103" s="89" t="str">
        <f>IF(D103="Si",B103,IF(D103="Continue",5,""))</f>
        <v/>
      </c>
      <c r="G103" s="124"/>
    </row>
    <row r="104" spans="1:7" ht="18" thickBot="1" x14ac:dyDescent="0.55000000000000004">
      <c r="A104" s="86" t="s">
        <v>269</v>
      </c>
      <c r="B104" s="89">
        <v>30</v>
      </c>
      <c r="C104" s="96">
        <v>0</v>
      </c>
      <c r="D104" s="157" t="s">
        <v>10</v>
      </c>
      <c r="E104" s="96" t="str">
        <f t="shared" ref="E104:E111" si="15">IF(D104="Si",(C104+0.2),IF(D104="Continue",(C104)," "))</f>
        <v xml:space="preserve"> </v>
      </c>
      <c r="F104" s="89" t="str">
        <f t="shared" ref="F104:F111" si="16">IF(D104="Si",B104,IF(D104="Continue",5,""))</f>
        <v/>
      </c>
      <c r="G104" s="124"/>
    </row>
    <row r="105" spans="1:7" ht="18" thickBot="1" x14ac:dyDescent="0.55000000000000004">
      <c r="A105" s="86" t="s">
        <v>153</v>
      </c>
      <c r="B105" s="89">
        <v>30</v>
      </c>
      <c r="C105" s="96">
        <v>0</v>
      </c>
      <c r="D105" s="157" t="s">
        <v>10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7" ht="18" thickBot="1" x14ac:dyDescent="0.55000000000000004">
      <c r="A106" s="86" t="s">
        <v>154</v>
      </c>
      <c r="B106" s="89">
        <v>30</v>
      </c>
      <c r="C106" s="96">
        <v>0</v>
      </c>
      <c r="D106" s="157" t="s">
        <v>10</v>
      </c>
      <c r="E106" s="96" t="str">
        <f t="shared" si="15"/>
        <v xml:space="preserve"> </v>
      </c>
      <c r="F106" s="89" t="str">
        <f t="shared" si="16"/>
        <v/>
      </c>
      <c r="G106" s="87"/>
    </row>
    <row r="107" spans="1:7" ht="18" thickBot="1" x14ac:dyDescent="0.55000000000000004">
      <c r="A107" s="86" t="s">
        <v>155</v>
      </c>
      <c r="B107" s="89">
        <v>30</v>
      </c>
      <c r="C107" s="96">
        <v>0</v>
      </c>
      <c r="D107" s="157" t="s">
        <v>10</v>
      </c>
      <c r="E107" s="96" t="str">
        <f t="shared" si="15"/>
        <v xml:space="preserve"> </v>
      </c>
      <c r="F107" s="89" t="str">
        <f t="shared" si="16"/>
        <v/>
      </c>
      <c r="G107" s="124"/>
    </row>
    <row r="108" spans="1:7" ht="18" thickBot="1" x14ac:dyDescent="0.55000000000000004">
      <c r="A108" s="86" t="s">
        <v>156</v>
      </c>
      <c r="B108" s="89">
        <v>30</v>
      </c>
      <c r="C108" s="96">
        <v>0.2</v>
      </c>
      <c r="D108" s="157" t="s">
        <v>10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7" ht="18" thickBot="1" x14ac:dyDescent="0.55000000000000004">
      <c r="A109" s="86" t="s">
        <v>157</v>
      </c>
      <c r="B109" s="89">
        <v>30</v>
      </c>
      <c r="C109" s="96">
        <v>0</v>
      </c>
      <c r="D109" s="157" t="s">
        <v>10</v>
      </c>
      <c r="E109" s="96" t="str">
        <f t="shared" si="15"/>
        <v xml:space="preserve"> </v>
      </c>
      <c r="F109" s="89" t="str">
        <f t="shared" si="16"/>
        <v/>
      </c>
      <c r="G109" s="124"/>
    </row>
    <row r="110" spans="1:7" ht="18" thickBot="1" x14ac:dyDescent="0.55000000000000004">
      <c r="A110" s="86" t="s">
        <v>158</v>
      </c>
      <c r="B110" s="89">
        <v>40</v>
      </c>
      <c r="C110" s="96">
        <v>0</v>
      </c>
      <c r="D110" s="157" t="s">
        <v>10</v>
      </c>
      <c r="E110" s="96" t="str">
        <f t="shared" si="15"/>
        <v xml:space="preserve"> </v>
      </c>
      <c r="F110" s="89" t="str">
        <f t="shared" si="16"/>
        <v/>
      </c>
      <c r="G110" s="87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6" t="s">
        <v>131</v>
      </c>
      <c r="B111" s="89">
        <v>40</v>
      </c>
      <c r="C111" s="96">
        <v>0</v>
      </c>
      <c r="D111" s="116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E112" s="127" t="s">
        <v>2</v>
      </c>
      <c r="F112" s="128">
        <f>SUM(F103:F110)</f>
        <v>0</v>
      </c>
      <c r="G112" s="87"/>
    </row>
    <row r="113" spans="1:13" ht="18" thickBot="1" x14ac:dyDescent="0.55000000000000004">
      <c r="D113" s="86"/>
      <c r="E113" s="129" t="s">
        <v>136</v>
      </c>
      <c r="F113" s="115">
        <f>H64-G82-F98-F112-F89</f>
        <v>155.61500000000001</v>
      </c>
    </row>
    <row r="115" spans="1:13" ht="18" thickBot="1" x14ac:dyDescent="0.55000000000000004">
      <c r="A115" s="117" t="s">
        <v>240</v>
      </c>
      <c r="B115" s="118"/>
      <c r="C115" s="118"/>
      <c r="D115" s="118"/>
      <c r="E115" s="118"/>
      <c r="F115" s="118"/>
      <c r="G115" s="118"/>
      <c r="H115" s="118"/>
      <c r="I115" s="118"/>
    </row>
    <row r="116" spans="1:13" ht="18" thickBot="1" x14ac:dyDescent="0.55000000000000004">
      <c r="A116" s="86" t="s">
        <v>132</v>
      </c>
      <c r="B116" s="86">
        <f>B62-E89</f>
        <v>0</v>
      </c>
      <c r="D116" s="86" t="s">
        <v>134</v>
      </c>
      <c r="E116" s="115">
        <f>F113</f>
        <v>155.61500000000001</v>
      </c>
    </row>
    <row r="117" spans="1:13" x14ac:dyDescent="0.5">
      <c r="A117" s="93"/>
      <c r="B117" s="125" t="str">
        <f>IF(B116&lt;0,"Not enough HI ava"," ")</f>
        <v xml:space="preserve"> </v>
      </c>
      <c r="D117" s="93"/>
      <c r="E117" s="95"/>
    </row>
    <row r="118" spans="1:13" ht="18" thickBot="1" x14ac:dyDescent="0.55000000000000004">
      <c r="B118" s="84" t="s">
        <v>124</v>
      </c>
    </row>
    <row r="119" spans="1:13" ht="18" thickBot="1" x14ac:dyDescent="0.55000000000000004">
      <c r="A119" s="86" t="s">
        <v>139</v>
      </c>
      <c r="B119" s="156">
        <v>0</v>
      </c>
    </row>
    <row r="120" spans="1:13" ht="18" thickBot="1" x14ac:dyDescent="0.55000000000000004">
      <c r="A120" s="86" t="s">
        <v>138</v>
      </c>
      <c r="B120" s="156">
        <v>0</v>
      </c>
    </row>
    <row r="121" spans="1:13" ht="18" thickBot="1" x14ac:dyDescent="0.55000000000000004">
      <c r="A121" s="86" t="s">
        <v>2</v>
      </c>
      <c r="B121" s="107">
        <f>B116-B119-B120</f>
        <v>0</v>
      </c>
      <c r="D121" s="84" t="str">
        <f>IF(B121&lt;0,"Total Exceeds ava HI points"," ")</f>
        <v xml:space="preserve"> </v>
      </c>
    </row>
    <row r="124" spans="1:13" ht="18" thickBot="1" x14ac:dyDescent="0.55000000000000004">
      <c r="A124" s="126" t="s">
        <v>139</v>
      </c>
    </row>
    <row r="125" spans="1:13" x14ac:dyDescent="0.5">
      <c r="A125" s="130" t="s">
        <v>140</v>
      </c>
      <c r="B125" s="131"/>
      <c r="C125" s="131"/>
      <c r="D125" s="131"/>
      <c r="E125" s="131"/>
      <c r="F125" s="131"/>
      <c r="G125" s="131"/>
      <c r="H125" s="131"/>
      <c r="I125" s="131"/>
      <c r="J125" s="131"/>
      <c r="K125" s="202" t="s">
        <v>151</v>
      </c>
      <c r="L125" s="198" t="s">
        <v>117</v>
      </c>
    </row>
    <row r="126" spans="1:13" ht="18" thickBot="1" x14ac:dyDescent="0.55000000000000004">
      <c r="A126" s="132" t="s">
        <v>141</v>
      </c>
      <c r="B126" s="133">
        <f>B119*8</f>
        <v>0</v>
      </c>
      <c r="C126" s="133" t="s">
        <v>146</v>
      </c>
      <c r="D126" s="133" t="s">
        <v>148</v>
      </c>
      <c r="E126" s="133" t="s">
        <v>147</v>
      </c>
      <c r="F126" s="133" t="s">
        <v>148</v>
      </c>
      <c r="G126" s="133" t="s">
        <v>149</v>
      </c>
      <c r="H126" s="133" t="s">
        <v>148</v>
      </c>
      <c r="I126" s="133" t="s">
        <v>150</v>
      </c>
      <c r="J126" s="133" t="s">
        <v>148</v>
      </c>
      <c r="K126" s="203"/>
      <c r="L126" s="199"/>
    </row>
    <row r="127" spans="1:13" ht="18" thickBot="1" x14ac:dyDescent="0.55000000000000004">
      <c r="A127" s="86" t="s">
        <v>142</v>
      </c>
      <c r="B127" s="150" t="str">
        <f>IF(B119&gt;0, 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Data!Q3</f>
        <v>0</v>
      </c>
      <c r="M127" s="92" t="str">
        <f>IF(K127&gt;8,"Need to reduce number of weapons ordered"," ")</f>
        <v xml:space="preserve"> </v>
      </c>
    </row>
    <row r="128" spans="1:13" ht="18" thickBot="1" x14ac:dyDescent="0.55000000000000004">
      <c r="A128" s="86" t="s">
        <v>143</v>
      </c>
      <c r="B128" s="150" t="str">
        <f>IF(B119&gt;1,8,"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Data!Q4</f>
        <v>0</v>
      </c>
      <c r="M128" s="92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6" t="s">
        <v>144</v>
      </c>
      <c r="B129" s="150" t="str">
        <f>IF(B119&gt;2,8,"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Data!Q5</f>
        <v>0</v>
      </c>
      <c r="M129" s="92" t="str">
        <f t="shared" si="18"/>
        <v xml:space="preserve"> </v>
      </c>
    </row>
    <row r="130" spans="1:13" ht="18" thickBot="1" x14ac:dyDescent="0.55000000000000004">
      <c r="A130" s="86" t="s">
        <v>145</v>
      </c>
      <c r="B130" s="150" t="str">
        <f>IF(B119&gt;3,8," ")</f>
        <v xml:space="preserve"> </v>
      </c>
      <c r="C130" s="156"/>
      <c r="D130" s="157"/>
      <c r="E130" s="156"/>
      <c r="F130" s="157"/>
      <c r="G130" s="156"/>
      <c r="H130" s="157"/>
      <c r="I130" s="156"/>
      <c r="J130" s="157"/>
      <c r="K130" s="86">
        <f>C130+E130+(G130*2)+(I130*4)</f>
        <v>0</v>
      </c>
      <c r="L130" s="115">
        <f>Data!Q6</f>
        <v>0</v>
      </c>
      <c r="M130" s="92" t="str">
        <f t="shared" si="18"/>
        <v xml:space="preserve"> </v>
      </c>
    </row>
    <row r="131" spans="1:13" ht="18" thickBot="1" x14ac:dyDescent="0.55000000000000004">
      <c r="K131" s="86" t="s">
        <v>2</v>
      </c>
      <c r="L131" s="115">
        <f>SUM(L127:L130)</f>
        <v>0</v>
      </c>
    </row>
    <row r="132" spans="1:13" x14ac:dyDescent="0.5">
      <c r="A132" s="84" t="s">
        <v>6</v>
      </c>
    </row>
    <row r="133" spans="1:13" x14ac:dyDescent="0.5">
      <c r="B133" s="118"/>
      <c r="C133" s="118"/>
      <c r="D133" s="118"/>
      <c r="E133" s="118"/>
      <c r="F133" s="118"/>
      <c r="G133" s="118"/>
      <c r="H133" s="118"/>
      <c r="I133" s="118"/>
    </row>
    <row r="134" spans="1:13" ht="18" thickBot="1" x14ac:dyDescent="0.55000000000000004">
      <c r="A134" s="117" t="s">
        <v>164</v>
      </c>
      <c r="B134" s="134"/>
      <c r="C134" s="134"/>
      <c r="D134" s="134"/>
      <c r="E134" s="134"/>
      <c r="F134" s="93"/>
      <c r="G134" s="93"/>
    </row>
    <row r="135" spans="1:13" ht="18" thickBot="1" x14ac:dyDescent="0.55000000000000004">
      <c r="A135" s="191"/>
      <c r="B135" s="191"/>
      <c r="C135" s="134"/>
      <c r="D135" s="86" t="s">
        <v>159</v>
      </c>
      <c r="E135" s="86" t="s">
        <v>160</v>
      </c>
      <c r="F135" s="86" t="s">
        <v>161</v>
      </c>
      <c r="G135" s="86" t="s">
        <v>162</v>
      </c>
      <c r="H135" s="86" t="s">
        <v>117</v>
      </c>
      <c r="I135" s="86" t="s">
        <v>163</v>
      </c>
    </row>
    <row r="136" spans="1:13" ht="18" thickBot="1" x14ac:dyDescent="0.55000000000000004">
      <c r="A136" s="191"/>
      <c r="B136" s="191"/>
      <c r="C136" s="134"/>
      <c r="D136" s="160">
        <v>0</v>
      </c>
      <c r="E136" s="160">
        <v>0</v>
      </c>
      <c r="F136" s="160">
        <v>0</v>
      </c>
      <c r="G136" s="160">
        <v>0</v>
      </c>
      <c r="H136" s="89">
        <f>(D136*Data!Q17)+(Data!Q18*E136)+(F136*Data!Q17)+(G136*Data!Q17)</f>
        <v>0</v>
      </c>
      <c r="I136" s="86">
        <f>(D136+E136+F136+G136)*200000</f>
        <v>0</v>
      </c>
    </row>
    <row r="139" spans="1:13" x14ac:dyDescent="0.5">
      <c r="A139" s="118"/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22" t="s">
        <v>138</v>
      </c>
    </row>
    <row r="141" spans="1:13" ht="18" thickBot="1" x14ac:dyDescent="0.55000000000000004">
      <c r="A141" s="86" t="s">
        <v>165</v>
      </c>
      <c r="B141" s="86">
        <f>B120*20</f>
        <v>0</v>
      </c>
    </row>
    <row r="142" spans="1:13" ht="18" thickBot="1" x14ac:dyDescent="0.55000000000000004"/>
    <row r="143" spans="1:13" x14ac:dyDescent="0.5">
      <c r="A143" s="130"/>
      <c r="B143" s="131"/>
      <c r="C143" s="131"/>
      <c r="D143" s="131"/>
      <c r="E143" s="131"/>
      <c r="F143" s="202" t="s">
        <v>169</v>
      </c>
      <c r="G143" s="135"/>
    </row>
    <row r="144" spans="1:13" ht="18" thickBot="1" x14ac:dyDescent="0.55000000000000004">
      <c r="A144" s="132" t="s">
        <v>166</v>
      </c>
      <c r="B144" s="133" t="s">
        <v>167</v>
      </c>
      <c r="C144" s="133" t="s">
        <v>123</v>
      </c>
      <c r="D144" s="133" t="s">
        <v>168</v>
      </c>
      <c r="E144" s="133" t="s">
        <v>148</v>
      </c>
      <c r="F144" s="203"/>
      <c r="G144" s="136" t="s">
        <v>117</v>
      </c>
    </row>
    <row r="145" spans="1:8" ht="18" thickBot="1" x14ac:dyDescent="0.55000000000000004">
      <c r="A145" s="157"/>
      <c r="B145" s="86" t="str">
        <f t="shared" ref="B145:B150" si="19">IF(A145&gt;" ",(VLOOKUP(A145,Ship_size,2,FALSE))," ")</f>
        <v xml:space="preserve"> </v>
      </c>
      <c r="C145" s="86" t="str">
        <f t="shared" ref="C145:C150" si="20">IF(A145&gt;" ",(VLOOKUP(A145,Ship_size,3,FALSE))," ")</f>
        <v xml:space="preserve"> </v>
      </c>
      <c r="D145" s="157"/>
      <c r="E145" s="157"/>
      <c r="F145" s="86">
        <f>IF(A145&gt;" ",(B145*D145),0)</f>
        <v>0</v>
      </c>
      <c r="G145" s="115">
        <f>IF(A145&gt;" ",(VLOOKUP(A145,Ship_size,Data!E40,FALSE)*D145),0)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ref="F146:F148" si="21">IF(A146&gt;" ",(B146*D146),0)</f>
        <v>0</v>
      </c>
      <c r="G146" s="115">
        <f>IF(A146&gt;" ",(VLOOKUP(A146,Ship_size,Data!E41,FALSE)*D146),0)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",(VLOOKUP(A147,Ship_size,Data!E42,FALSE)*D147),0)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si="21"/>
        <v>0</v>
      </c>
      <c r="G148" s="115">
        <f>IF(A148&gt;" ",(VLOOKUP(A148,Ship_size,Data!E43,FALSE)*D148),0)</f>
        <v>0</v>
      </c>
      <c r="H148" s="8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ref="F149:F150" si="22">IF(A149&gt;" ",(B149*D149),0)</f>
        <v>0</v>
      </c>
      <c r="G149" s="115">
        <f>IF(A149&gt;" ",(VLOOKUP(A149,Ship_size,Data!E44,FALSE)*D149),0)</f>
        <v>0</v>
      </c>
      <c r="H149" s="137"/>
    </row>
    <row r="150" spans="1:8" ht="18" thickBot="1" x14ac:dyDescent="0.55000000000000004">
      <c r="A150" s="157"/>
      <c r="B150" s="86" t="str">
        <f t="shared" si="19"/>
        <v xml:space="preserve"> </v>
      </c>
      <c r="C150" s="86" t="str">
        <f t="shared" si="20"/>
        <v xml:space="preserve"> </v>
      </c>
      <c r="D150" s="157"/>
      <c r="E150" s="157"/>
      <c r="F150" s="86">
        <f t="shared" si="22"/>
        <v>0</v>
      </c>
      <c r="G150" s="115">
        <f>IF(A150&gt;" ",(VLOOKUP(A150,Ship_size,Data!E45,FALSE)*D150),0)</f>
        <v>0</v>
      </c>
    </row>
    <row r="151" spans="1:8" ht="18" thickBot="1" x14ac:dyDescent="0.55000000000000004">
      <c r="C151" s="138" t="s">
        <v>6</v>
      </c>
      <c r="D151" s="139" t="s">
        <v>6</v>
      </c>
      <c r="E151" s="86" t="s">
        <v>2</v>
      </c>
      <c r="F151" s="86">
        <f>SUM(F145:F150)</f>
        <v>0</v>
      </c>
      <c r="G151" s="115">
        <f>SUM(G145:G150)</f>
        <v>0</v>
      </c>
      <c r="H151" s="92" t="str">
        <f>IF(F151&gt;B141,"Ship sizes used exceeds number of ship sizes ava"," ")</f>
        <v xml:space="preserve"> </v>
      </c>
    </row>
    <row r="153" spans="1:8" ht="18" thickBot="1" x14ac:dyDescent="0.55000000000000004">
      <c r="A153" s="84" t="s">
        <v>6</v>
      </c>
    </row>
    <row r="154" spans="1:8" x14ac:dyDescent="0.5">
      <c r="A154" s="130"/>
      <c r="B154" s="131"/>
      <c r="C154" s="131"/>
      <c r="D154" s="131"/>
      <c r="E154" s="131"/>
      <c r="F154" s="202"/>
      <c r="G154" s="135"/>
    </row>
    <row r="155" spans="1:8" ht="18" thickBot="1" x14ac:dyDescent="0.55000000000000004">
      <c r="A155" s="132" t="s">
        <v>176</v>
      </c>
      <c r="B155" s="133" t="s">
        <v>148</v>
      </c>
      <c r="C155" s="133" t="s">
        <v>168</v>
      </c>
      <c r="D155" s="140" t="s">
        <v>177</v>
      </c>
      <c r="E155" s="133"/>
      <c r="F155" s="203"/>
      <c r="G155" s="13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A159" s="86"/>
      <c r="B159" s="86"/>
      <c r="C159" s="86"/>
      <c r="D159" s="86"/>
    </row>
    <row r="160" spans="1:8" ht="18" thickBot="1" x14ac:dyDescent="0.55000000000000004">
      <c r="F160" s="86" t="s">
        <v>2</v>
      </c>
      <c r="G160" s="89">
        <v>0</v>
      </c>
    </row>
    <row r="162" spans="1:14" ht="18" thickBot="1" x14ac:dyDescent="0.55000000000000004">
      <c r="A162" s="141" t="s">
        <v>178</v>
      </c>
      <c r="B162" s="142"/>
      <c r="C162" s="142"/>
      <c r="D162" s="142"/>
      <c r="E162" s="142"/>
      <c r="F162" s="142"/>
      <c r="G162" s="142"/>
    </row>
    <row r="163" spans="1:14" ht="18" thickBot="1" x14ac:dyDescent="0.55000000000000004">
      <c r="A163" s="143" t="s">
        <v>180</v>
      </c>
      <c r="B163" s="143" t="s">
        <v>179</v>
      </c>
      <c r="C163" s="143" t="s">
        <v>117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A167" s="161"/>
      <c r="B167" s="161"/>
      <c r="C167" s="115" t="str">
        <f>IF(B167&gt;0,(VLOOKUP(B167,MilitaryB_cost,2,FALSE))," ")</f>
        <v xml:space="preserve"> </v>
      </c>
    </row>
    <row r="168" spans="1:14" ht="18" thickBot="1" x14ac:dyDescent="0.55000000000000004">
      <c r="B168" s="86" t="s">
        <v>41</v>
      </c>
      <c r="C168" s="115">
        <f>SUM(C164:C167)</f>
        <v>0</v>
      </c>
    </row>
    <row r="171" spans="1:14" x14ac:dyDescent="0.5">
      <c r="B171" s="118"/>
      <c r="C171" s="118"/>
      <c r="D171" s="118"/>
      <c r="E171" s="118"/>
      <c r="F171" s="118"/>
      <c r="G171" s="118"/>
      <c r="H171" s="118"/>
      <c r="I171" s="118"/>
    </row>
    <row r="172" spans="1:14" ht="18" thickBot="1" x14ac:dyDescent="0.55000000000000004">
      <c r="A172" s="117" t="s">
        <v>181</v>
      </c>
    </row>
    <row r="173" spans="1:14" ht="18" thickBot="1" x14ac:dyDescent="0.55000000000000004">
      <c r="A173" s="187" t="s">
        <v>182</v>
      </c>
      <c r="B173" s="188"/>
      <c r="C173" s="188"/>
      <c r="D173" s="188"/>
      <c r="E173" s="188"/>
      <c r="F173" s="189"/>
      <c r="G173" s="144" t="s">
        <v>183</v>
      </c>
      <c r="N173" s="145"/>
    </row>
    <row r="174" spans="1:14" ht="19.5" customHeight="1" thickBot="1" x14ac:dyDescent="0.55000000000000004">
      <c r="A174" s="204"/>
      <c r="B174" s="205"/>
      <c r="C174" s="205"/>
      <c r="D174" s="205"/>
      <c r="E174" s="205"/>
      <c r="F174" s="206"/>
      <c r="G174" s="159"/>
    </row>
    <row r="175" spans="1:14" ht="18" thickBot="1" x14ac:dyDescent="0.55000000000000004">
      <c r="A175" s="204"/>
      <c r="B175" s="205"/>
      <c r="C175" s="205"/>
      <c r="D175" s="205"/>
      <c r="E175" s="205"/>
      <c r="F175" s="206"/>
      <c r="G175" s="159"/>
    </row>
    <row r="176" spans="1:14" ht="19.5" customHeight="1" thickBot="1" x14ac:dyDescent="0.55000000000000004">
      <c r="A176" s="204"/>
      <c r="B176" s="205"/>
      <c r="C176" s="205"/>
      <c r="D176" s="205"/>
      <c r="E176" s="205"/>
      <c r="F176" s="206"/>
      <c r="G176" s="159"/>
    </row>
    <row r="177" spans="1:7" ht="19.5" customHeight="1" thickBot="1" x14ac:dyDescent="0.55000000000000004">
      <c r="A177" s="204"/>
      <c r="B177" s="205"/>
      <c r="C177" s="205"/>
      <c r="D177" s="205"/>
      <c r="E177" s="205"/>
      <c r="F177" s="206"/>
      <c r="G177" s="159"/>
    </row>
    <row r="178" spans="1:7" ht="19.5" customHeight="1" thickBot="1" x14ac:dyDescent="0.55000000000000004">
      <c r="A178" s="204"/>
      <c r="B178" s="205"/>
      <c r="C178" s="205"/>
      <c r="D178" s="205"/>
      <c r="E178" s="205"/>
      <c r="F178" s="206"/>
      <c r="G178" s="159"/>
    </row>
    <row r="179" spans="1:7" ht="19.5" customHeight="1" thickBot="1" x14ac:dyDescent="0.55000000000000004">
      <c r="A179" s="204"/>
      <c r="B179" s="205"/>
      <c r="C179" s="205"/>
      <c r="D179" s="205"/>
      <c r="E179" s="205"/>
      <c r="F179" s="206"/>
      <c r="G179" s="159"/>
    </row>
    <row r="180" spans="1:7" ht="19.5" customHeight="1" thickBot="1" x14ac:dyDescent="0.55000000000000004">
      <c r="A180" s="204"/>
      <c r="B180" s="205"/>
      <c r="C180" s="205"/>
      <c r="D180" s="205"/>
      <c r="E180" s="205"/>
      <c r="F180" s="206"/>
      <c r="G180" s="159"/>
    </row>
    <row r="181" spans="1:7" ht="19.5" customHeight="1" thickBot="1" x14ac:dyDescent="0.55000000000000004">
      <c r="A181" s="204"/>
      <c r="B181" s="205"/>
      <c r="C181" s="205"/>
      <c r="D181" s="205"/>
      <c r="E181" s="205"/>
      <c r="F181" s="206"/>
      <c r="G181" s="159"/>
    </row>
    <row r="182" spans="1:7" ht="19.5" customHeight="1" thickBot="1" x14ac:dyDescent="0.55000000000000004">
      <c r="A182" s="204"/>
      <c r="B182" s="205"/>
      <c r="C182" s="205"/>
      <c r="D182" s="205"/>
      <c r="E182" s="205"/>
      <c r="F182" s="206"/>
      <c r="G182" s="159"/>
    </row>
    <row r="183" spans="1:7" ht="19.5" customHeight="1" thickBot="1" x14ac:dyDescent="0.55000000000000004">
      <c r="A183" s="204"/>
      <c r="B183" s="205"/>
      <c r="C183" s="205"/>
      <c r="D183" s="205"/>
      <c r="E183" s="205"/>
      <c r="F183" s="206"/>
      <c r="G183" s="159"/>
    </row>
    <row r="184" spans="1:7" ht="18" thickBot="1" x14ac:dyDescent="0.55000000000000004">
      <c r="A184" s="204"/>
      <c r="B184" s="205"/>
      <c r="C184" s="205"/>
      <c r="D184" s="205"/>
      <c r="E184" s="205"/>
      <c r="F184" s="206"/>
      <c r="G184" s="159"/>
    </row>
    <row r="185" spans="1:7" ht="18" thickBot="1" x14ac:dyDescent="0.55000000000000004">
      <c r="A185" s="212"/>
      <c r="B185" s="213"/>
      <c r="C185" s="213"/>
      <c r="D185" s="213"/>
      <c r="E185" s="213"/>
      <c r="F185" s="214"/>
      <c r="G185" s="159"/>
    </row>
    <row r="186" spans="1:7" ht="18" thickBot="1" x14ac:dyDescent="0.55000000000000004">
      <c r="A186" s="204"/>
      <c r="B186" s="205"/>
      <c r="C186" s="205"/>
      <c r="D186" s="205"/>
      <c r="E186" s="205"/>
      <c r="F186" s="206"/>
      <c r="G186" s="162"/>
    </row>
    <row r="187" spans="1:7" ht="18" thickBot="1" x14ac:dyDescent="0.55000000000000004">
      <c r="A187" s="204"/>
      <c r="B187" s="205"/>
      <c r="C187" s="205"/>
      <c r="D187" s="205"/>
      <c r="E187" s="205"/>
      <c r="F187" s="206"/>
      <c r="G187" s="162"/>
    </row>
    <row r="188" spans="1:7" ht="18" thickBot="1" x14ac:dyDescent="0.55000000000000004">
      <c r="A188" s="209"/>
      <c r="B188" s="210"/>
      <c r="C188" s="210"/>
      <c r="D188" s="210"/>
      <c r="E188" s="210"/>
      <c r="F188" s="211"/>
      <c r="G188" s="162"/>
    </row>
    <row r="189" spans="1:7" ht="18" thickBot="1" x14ac:dyDescent="0.55000000000000004">
      <c r="A189" s="204"/>
      <c r="B189" s="205"/>
      <c r="C189" s="205"/>
      <c r="D189" s="205"/>
      <c r="E189" s="205"/>
      <c r="F189" s="206"/>
      <c r="G189" s="159"/>
    </row>
    <row r="190" spans="1:7" ht="18" thickBot="1" x14ac:dyDescent="0.55000000000000004">
      <c r="A190" s="204"/>
      <c r="B190" s="205"/>
      <c r="C190" s="205"/>
      <c r="D190" s="205"/>
      <c r="E190" s="205"/>
      <c r="F190" s="206"/>
      <c r="G190" s="159"/>
    </row>
    <row r="191" spans="1:7" ht="18" thickBot="1" x14ac:dyDescent="0.55000000000000004">
      <c r="A191" s="209"/>
      <c r="B191" s="210"/>
      <c r="C191" s="210"/>
      <c r="D191" s="210"/>
      <c r="E191" s="210"/>
      <c r="F191" s="211"/>
      <c r="G191" s="159"/>
    </row>
    <row r="192" spans="1:7" ht="18" thickBot="1" x14ac:dyDescent="0.55000000000000004">
      <c r="A192" s="204"/>
      <c r="B192" s="210"/>
      <c r="C192" s="210"/>
      <c r="D192" s="210"/>
      <c r="E192" s="210"/>
      <c r="F192" s="211"/>
      <c r="G192" s="159"/>
    </row>
    <row r="193" spans="5:7" ht="41.25" customHeight="1" thickBot="1" x14ac:dyDescent="0.55000000000000004"/>
    <row r="194" spans="5:7" ht="18" thickBot="1" x14ac:dyDescent="0.55000000000000004">
      <c r="F194" s="86" t="s">
        <v>2</v>
      </c>
      <c r="G194" s="115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5">
        <f>E116-L131-H136-G151-G160-C168-G194</f>
        <v>155.61500000000001</v>
      </c>
    </row>
  </sheetData>
  <sheetProtection algorithmName="SHA-512" hashValue="13U8SABDmwbe8myLitL2sdTNC8DOUkwrHZDSY0Vdri7HYLUPk59+1jXOEIIc9rligh1OIpHB5+namZwN36n70Q==" saltValue="YWi/Q8+Ey2baqi+k+lF+og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8" t="s">
        <v>189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17" t="s">
        <v>159</v>
      </c>
      <c r="C6" s="217" t="s">
        <v>148</v>
      </c>
      <c r="D6" s="217" t="s">
        <v>188</v>
      </c>
      <c r="E6" s="217" t="s">
        <v>148</v>
      </c>
      <c r="F6" s="217" t="s">
        <v>147</v>
      </c>
      <c r="G6" s="217" t="s">
        <v>148</v>
      </c>
      <c r="H6" s="217" t="s">
        <v>149</v>
      </c>
      <c r="I6" s="217" t="s">
        <v>148</v>
      </c>
      <c r="J6" s="217" t="s">
        <v>150</v>
      </c>
      <c r="K6" s="241" t="s">
        <v>148</v>
      </c>
      <c r="N6" s="215" t="s">
        <v>191</v>
      </c>
      <c r="O6" s="215"/>
      <c r="P6" s="215"/>
    </row>
    <row r="7" spans="1:20" ht="15.75" thickBot="1" x14ac:dyDescent="0.5">
      <c r="A7" s="51" t="s">
        <v>180</v>
      </c>
      <c r="B7" s="218"/>
      <c r="C7" s="218"/>
      <c r="D7" s="218"/>
      <c r="E7" s="218"/>
      <c r="F7" s="218"/>
      <c r="G7" s="218"/>
      <c r="H7" s="218"/>
      <c r="I7" s="218"/>
      <c r="J7" s="218"/>
      <c r="K7" s="242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7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7"/>
      <c r="E28" s="165"/>
      <c r="F28" s="166" t="s">
        <v>211</v>
      </c>
      <c r="G28" s="53">
        <f>B25+D25+H25+J25</f>
        <v>26</v>
      </c>
      <c r="I28" s="55" t="s">
        <v>108</v>
      </c>
      <c r="J28" s="59">
        <f>Econ!G196</f>
        <v>155.61500000000001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5" t="s">
        <v>198</v>
      </c>
      <c r="F30" s="215"/>
      <c r="G30" s="215"/>
      <c r="H30" s="215"/>
      <c r="I30" s="215"/>
      <c r="J30" s="215"/>
      <c r="K30" s="215"/>
    </row>
    <row r="31" spans="1:18" ht="15.75" thickBot="1" x14ac:dyDescent="0.5">
      <c r="A31" s="44"/>
      <c r="B31" s="44"/>
      <c r="C31" s="44"/>
      <c r="E31" s="215" t="s">
        <v>61</v>
      </c>
      <c r="F31" s="215"/>
      <c r="G31" s="215"/>
      <c r="H31" s="49" t="s">
        <v>117</v>
      </c>
      <c r="I31" s="215" t="s">
        <v>199</v>
      </c>
      <c r="J31" s="215"/>
      <c r="K31" s="215"/>
    </row>
    <row r="32" spans="1:18" ht="15.75" thickBot="1" x14ac:dyDescent="0.5">
      <c r="A32" s="44"/>
      <c r="B32" s="44"/>
      <c r="C32" s="44"/>
      <c r="E32" s="219"/>
      <c r="F32" s="220"/>
      <c r="G32" s="221"/>
      <c r="H32" s="173"/>
      <c r="I32" s="219"/>
      <c r="J32" s="220"/>
      <c r="K32" s="221"/>
      <c r="R32" s="44"/>
    </row>
    <row r="33" spans="1:16" ht="15.75" thickBot="1" x14ac:dyDescent="0.5">
      <c r="A33" s="44"/>
      <c r="E33" s="219"/>
      <c r="F33" s="220"/>
      <c r="G33" s="221"/>
      <c r="H33" s="173"/>
      <c r="I33" s="219"/>
      <c r="J33" s="220"/>
      <c r="K33" s="221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9"/>
      <c r="F34" s="220"/>
      <c r="G34" s="221"/>
      <c r="H34" s="173"/>
      <c r="I34" s="219"/>
      <c r="J34" s="220"/>
      <c r="K34" s="221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19"/>
      <c r="F35" s="220"/>
      <c r="G35" s="221"/>
      <c r="H35" s="173"/>
      <c r="I35" s="219"/>
      <c r="J35" s="220"/>
      <c r="K35" s="221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5" t="s">
        <v>202</v>
      </c>
      <c r="H39" s="215"/>
      <c r="I39" s="215"/>
      <c r="J39" s="21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3" t="s">
        <v>180</v>
      </c>
      <c r="B48" s="216" t="s">
        <v>206</v>
      </c>
      <c r="C48" s="216" t="s">
        <v>148</v>
      </c>
      <c r="D48" s="216" t="s">
        <v>207</v>
      </c>
      <c r="E48" s="216" t="s">
        <v>148</v>
      </c>
      <c r="F48" s="216" t="s">
        <v>208</v>
      </c>
      <c r="G48" s="216" t="s">
        <v>148</v>
      </c>
      <c r="H48" s="216" t="s">
        <v>209</v>
      </c>
      <c r="I48" s="216" t="s">
        <v>148</v>
      </c>
      <c r="J48" s="216" t="s">
        <v>173</v>
      </c>
      <c r="K48" s="216" t="s">
        <v>148</v>
      </c>
      <c r="L48" s="216" t="s">
        <v>175</v>
      </c>
    </row>
    <row r="49" spans="1:12" ht="16.149999999999999" thickTop="1" thickBot="1" x14ac:dyDescent="0.5">
      <c r="A49" s="244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5" t="s">
        <v>214</v>
      </c>
      <c r="F65" s="215"/>
      <c r="G65" s="215"/>
      <c r="H65" s="215"/>
      <c r="I65" s="215"/>
      <c r="J65" s="215"/>
      <c r="K65" s="215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5" t="s">
        <v>215</v>
      </c>
      <c r="F66" s="215"/>
      <c r="G66" s="215"/>
      <c r="H66" s="49" t="s">
        <v>117</v>
      </c>
      <c r="I66" s="215" t="s">
        <v>199</v>
      </c>
      <c r="J66" s="215"/>
      <c r="K66" s="215"/>
    </row>
    <row r="67" spans="1:16" ht="15" customHeight="1" thickTop="1" thickBot="1" x14ac:dyDescent="0.5">
      <c r="E67" s="219"/>
      <c r="F67" s="220"/>
      <c r="G67" s="221"/>
      <c r="H67" s="173"/>
      <c r="I67" s="219"/>
      <c r="J67" s="220"/>
      <c r="K67" s="221"/>
    </row>
    <row r="68" spans="1:16" ht="15" customHeight="1" thickBot="1" x14ac:dyDescent="0.5">
      <c r="E68" s="219"/>
      <c r="F68" s="220"/>
      <c r="G68" s="221"/>
      <c r="H68" s="173"/>
      <c r="I68" s="219"/>
      <c r="J68" s="220"/>
      <c r="K68" s="221"/>
    </row>
    <row r="69" spans="1:16" ht="15" customHeight="1" thickBot="1" x14ac:dyDescent="0.5">
      <c r="E69" s="219"/>
      <c r="F69" s="220"/>
      <c r="G69" s="221"/>
      <c r="H69" s="173"/>
      <c r="I69" s="219"/>
      <c r="J69" s="220"/>
      <c r="K69" s="221"/>
    </row>
    <row r="70" spans="1:16" ht="15.75" thickBot="1" x14ac:dyDescent="0.5">
      <c r="E70" s="219"/>
      <c r="F70" s="220"/>
      <c r="G70" s="221"/>
      <c r="H70" s="173"/>
      <c r="I70" s="219"/>
      <c r="J70" s="220"/>
      <c r="K70" s="221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155.61500000000001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4" t="s">
        <v>180</v>
      </c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</row>
    <row r="77" spans="1:16" ht="15.75" thickBot="1" x14ac:dyDescent="0.5">
      <c r="A77" s="49" t="s">
        <v>221</v>
      </c>
      <c r="B77" s="49">
        <v>5</v>
      </c>
      <c r="C77" s="69"/>
      <c r="D77" s="235" t="s">
        <v>255</v>
      </c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7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8" t="s">
        <v>256</v>
      </c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38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  <c r="P79" s="253"/>
    </row>
    <row r="80" spans="1:16" x14ac:dyDescent="0.45">
      <c r="A80" s="35"/>
      <c r="B80" s="35"/>
      <c r="C80" s="15"/>
      <c r="D80" s="238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3"/>
    </row>
    <row r="81" spans="1:16" x14ac:dyDescent="0.45">
      <c r="A81" s="35"/>
      <c r="B81" s="35"/>
      <c r="C81" s="15"/>
      <c r="D81" s="238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  <c r="P81" s="253"/>
    </row>
    <row r="82" spans="1:16" ht="29.25" customHeight="1" x14ac:dyDescent="0.45">
      <c r="A82" s="35"/>
      <c r="B82" s="35"/>
      <c r="C82" s="15"/>
      <c r="D82" s="254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6"/>
    </row>
    <row r="83" spans="1:16" ht="15.75" thickBot="1" x14ac:dyDescent="0.5">
      <c r="A83" s="35"/>
      <c r="B83" s="35"/>
      <c r="C83" s="15"/>
      <c r="D83" s="249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5" t="s">
        <v>180</v>
      </c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</row>
    <row r="87" spans="1:16" ht="15.75" thickBot="1" x14ac:dyDescent="0.5">
      <c r="A87" s="57" t="s">
        <v>221</v>
      </c>
      <c r="B87" s="57">
        <v>8</v>
      </c>
      <c r="C87" s="69"/>
      <c r="D87" s="245" t="s">
        <v>259</v>
      </c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1:16" ht="15.75" thickBot="1" x14ac:dyDescent="0.5">
      <c r="A88" s="164" t="s">
        <v>217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5" t="s">
        <v>180</v>
      </c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</row>
    <row r="91" spans="1:16" ht="15.75" thickBot="1" x14ac:dyDescent="0.5">
      <c r="A91" s="49"/>
      <c r="B91" s="49">
        <v>5</v>
      </c>
      <c r="C91" s="70">
        <f>B91*2</f>
        <v>10</v>
      </c>
      <c r="D91" s="222" t="s">
        <v>257</v>
      </c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4"/>
    </row>
    <row r="92" spans="1:16" ht="35.25" customHeight="1" thickBot="1" x14ac:dyDescent="0.5">
      <c r="D92" s="225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5" t="s">
        <v>180</v>
      </c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</row>
    <row r="95" spans="1:16" ht="15.75" thickBot="1" x14ac:dyDescent="0.5">
      <c r="A95" s="49"/>
      <c r="B95" s="49"/>
      <c r="C95" s="70">
        <f>B95*4</f>
        <v>0</v>
      </c>
      <c r="D95" s="228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0"/>
    </row>
    <row r="96" spans="1:16" ht="15.75" thickBot="1" x14ac:dyDescent="0.5">
      <c r="D96" s="231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3"/>
    </row>
    <row r="99" spans="1:17" x14ac:dyDescent="0.45">
      <c r="A99" s="167" t="s">
        <v>3</v>
      </c>
      <c r="B99" s="171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57</v>
      </c>
      <c r="D102" s="61">
        <f>H72</f>
        <v>155.61500000000001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8" t="s">
        <v>243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0"/>
      <c r="C5" s="261" t="s">
        <v>223</v>
      </c>
      <c r="D5" s="262"/>
      <c r="E5" s="262"/>
      <c r="F5" s="262"/>
      <c r="G5" s="262"/>
      <c r="H5" s="262"/>
      <c r="I5" s="263"/>
      <c r="J5" s="17"/>
      <c r="K5" s="259" t="s">
        <v>224</v>
      </c>
      <c r="L5" s="259"/>
      <c r="M5" s="259"/>
      <c r="N5" s="259"/>
      <c r="O5" s="259"/>
      <c r="P5" s="259"/>
    </row>
    <row r="6" spans="1:16" s="11" customFormat="1" ht="18" thickBot="1" x14ac:dyDescent="0.55000000000000004">
      <c r="B6" s="260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9" t="s">
        <v>225</v>
      </c>
      <c r="D9" s="259"/>
      <c r="E9" s="259"/>
      <c r="F9" s="259"/>
      <c r="G9" s="259"/>
      <c r="H9" s="259"/>
      <c r="I9" s="40"/>
      <c r="K9" s="259" t="s">
        <v>226</v>
      </c>
      <c r="L9" s="259"/>
      <c r="M9" s="259"/>
      <c r="N9" s="259"/>
      <c r="O9" s="259"/>
      <c r="P9" s="259"/>
    </row>
    <row r="10" spans="1:16" s="17" customFormat="1" ht="18" thickBot="1" x14ac:dyDescent="0.55000000000000004">
      <c r="A10" s="33"/>
      <c r="C10" s="40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261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4" t="s">
        <v>235</v>
      </c>
      <c r="C33" s="265"/>
      <c r="D33" s="265"/>
      <c r="E33" s="265"/>
      <c r="F33" s="265"/>
      <c r="G33" s="266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3" t="s">
        <v>117</v>
      </c>
      <c r="F34" s="154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261</v>
      </c>
      <c r="D35" s="42" t="s">
        <v>266</v>
      </c>
      <c r="E35" s="72">
        <v>55</v>
      </c>
      <c r="F35" s="155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258</v>
      </c>
      <c r="D36" s="42" t="s">
        <v>258</v>
      </c>
      <c r="E36" s="72">
        <v>0</v>
      </c>
      <c r="F36" s="155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5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5">
        <v>0</v>
      </c>
      <c r="G38" s="42" t="s">
        <v>10</v>
      </c>
    </row>
    <row r="39" spans="2:16" x14ac:dyDescent="0.5">
      <c r="D39" s="257"/>
      <c r="E39" s="257"/>
      <c r="F39" s="13"/>
      <c r="G39" s="28"/>
    </row>
    <row r="40" spans="2:16" x14ac:dyDescent="0.5">
      <c r="D40" s="257"/>
      <c r="E40" s="257"/>
      <c r="F40" s="13"/>
      <c r="G40" s="28"/>
    </row>
    <row r="41" spans="2:16" x14ac:dyDescent="0.5">
      <c r="D41" s="257"/>
      <c r="E41" s="257"/>
      <c r="F41" s="13"/>
      <c r="G41" s="28"/>
    </row>
    <row r="42" spans="2:16" x14ac:dyDescent="0.5">
      <c r="D42" s="257"/>
      <c r="E42" s="257"/>
      <c r="F42" s="257"/>
      <c r="G42" s="14"/>
    </row>
    <row r="45" spans="2:16" x14ac:dyDescent="0.5">
      <c r="D45" s="257"/>
      <c r="E45" s="257"/>
      <c r="F45" s="257"/>
      <c r="G45" s="257"/>
      <c r="H45" s="257"/>
      <c r="I45" s="257"/>
      <c r="K45" s="257"/>
      <c r="L45" s="257"/>
      <c r="M45" s="257"/>
      <c r="N45" s="257"/>
      <c r="O45" s="257"/>
      <c r="P45" s="257"/>
    </row>
    <row r="49" spans="2:17" x14ac:dyDescent="0.5">
      <c r="D49" s="257"/>
      <c r="E49" s="257"/>
      <c r="F49" s="14"/>
      <c r="G49" s="28"/>
      <c r="I49" s="28"/>
    </row>
    <row r="50" spans="2:17" x14ac:dyDescent="0.5">
      <c r="D50" s="257"/>
      <c r="E50" s="257"/>
      <c r="F50" s="14"/>
      <c r="G50" s="28"/>
    </row>
    <row r="51" spans="2:17" x14ac:dyDescent="0.5">
      <c r="D51" s="257"/>
      <c r="E51" s="257"/>
      <c r="F51" s="14"/>
      <c r="G51" s="28"/>
    </row>
    <row r="52" spans="2:17" x14ac:dyDescent="0.5">
      <c r="D52" s="257"/>
      <c r="E52" s="257"/>
      <c r="F52" s="14"/>
      <c r="G52" s="28"/>
    </row>
    <row r="53" spans="2:17" x14ac:dyDescent="0.5">
      <c r="D53" s="257"/>
      <c r="E53" s="257"/>
      <c r="F53" s="13"/>
      <c r="G53" s="28"/>
      <c r="I53" s="28"/>
    </row>
    <row r="54" spans="2:17" x14ac:dyDescent="0.5">
      <c r="D54" s="257"/>
      <c r="E54" s="257"/>
      <c r="F54" s="13"/>
      <c r="G54" s="28"/>
    </row>
    <row r="55" spans="2:17" x14ac:dyDescent="0.5">
      <c r="D55" s="257"/>
      <c r="E55" s="257"/>
      <c r="F55" s="257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7"/>
      <c r="E63" s="257"/>
      <c r="F63" s="257"/>
      <c r="G63" s="257"/>
      <c r="H63" s="257"/>
      <c r="I63" s="257"/>
      <c r="K63" s="257"/>
      <c r="L63" s="257"/>
      <c r="M63" s="257"/>
      <c r="N63" s="257"/>
      <c r="O63" s="257"/>
      <c r="P63" s="257"/>
    </row>
    <row r="66" spans="4:17" x14ac:dyDescent="0.5">
      <c r="D66" s="28"/>
    </row>
    <row r="67" spans="4:17" x14ac:dyDescent="0.5">
      <c r="D67" s="257"/>
      <c r="E67" s="257"/>
      <c r="F67" s="14"/>
      <c r="G67" s="28"/>
    </row>
    <row r="68" spans="4:17" x14ac:dyDescent="0.5">
      <c r="D68" s="257"/>
      <c r="E68" s="257"/>
      <c r="F68" s="14"/>
    </row>
    <row r="69" spans="4:17" x14ac:dyDescent="0.5">
      <c r="D69" s="257"/>
      <c r="E69" s="257"/>
      <c r="F69" s="13"/>
    </row>
    <row r="70" spans="4:17" x14ac:dyDescent="0.5">
      <c r="D70" s="257"/>
      <c r="E70" s="257"/>
      <c r="F70" s="13"/>
    </row>
    <row r="71" spans="4:17" x14ac:dyDescent="0.5">
      <c r="D71" s="257"/>
      <c r="E71" s="257"/>
      <c r="F71" s="257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7"/>
      <c r="E78" s="257"/>
      <c r="F78" s="257"/>
      <c r="G78" s="257"/>
      <c r="H78" s="257"/>
      <c r="I78" s="257"/>
      <c r="K78" s="257"/>
      <c r="L78" s="257"/>
      <c r="M78" s="257"/>
      <c r="N78" s="257"/>
      <c r="O78" s="257"/>
      <c r="P78" s="257"/>
    </row>
    <row r="82" spans="4:17" x14ac:dyDescent="0.5">
      <c r="D82" s="257"/>
      <c r="E82" s="257"/>
    </row>
    <row r="83" spans="4:17" x14ac:dyDescent="0.5">
      <c r="D83" s="257"/>
      <c r="E83" s="257"/>
      <c r="F83" s="14"/>
    </row>
    <row r="86" spans="4:17" x14ac:dyDescent="0.5">
      <c r="E86" s="14"/>
      <c r="F86" s="28"/>
      <c r="J86" s="28"/>
    </row>
    <row r="87" spans="4:17" x14ac:dyDescent="0.5">
      <c r="D87" s="257"/>
      <c r="E87" s="257"/>
      <c r="F87" s="257"/>
      <c r="G87" s="257"/>
      <c r="H87" s="257"/>
      <c r="I87" s="257"/>
      <c r="K87" s="257"/>
      <c r="L87" s="257"/>
      <c r="M87" s="257"/>
      <c r="N87" s="257"/>
      <c r="O87" s="257"/>
      <c r="P87" s="257"/>
    </row>
    <row r="91" spans="4:17" x14ac:dyDescent="0.5">
      <c r="D91" s="257"/>
      <c r="E91" s="257"/>
      <c r="F91" s="14"/>
      <c r="H91" s="28"/>
    </row>
    <row r="92" spans="4:17" x14ac:dyDescent="0.5">
      <c r="D92" s="257"/>
      <c r="E92" s="257"/>
      <c r="F92" s="14"/>
    </row>
    <row r="93" spans="4:17" x14ac:dyDescent="0.5">
      <c r="D93" s="257"/>
      <c r="E93" s="257"/>
      <c r="F93" s="13"/>
    </row>
    <row r="94" spans="4:17" x14ac:dyDescent="0.5">
      <c r="D94" s="257"/>
      <c r="E94" s="257"/>
      <c r="F94" s="257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7"/>
      <c r="E105" s="257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7"/>
      <c r="E112" s="257"/>
      <c r="F112" s="14"/>
      <c r="G112" s="28"/>
      <c r="I112" s="28"/>
    </row>
    <row r="113" spans="4:16" x14ac:dyDescent="0.5">
      <c r="D113" s="257"/>
      <c r="E113" s="257"/>
      <c r="F113" s="14"/>
      <c r="G113" s="28"/>
    </row>
    <row r="114" spans="4:16" x14ac:dyDescent="0.5">
      <c r="D114" s="257"/>
      <c r="E114" s="257"/>
      <c r="F114" s="14"/>
      <c r="G114" s="28"/>
    </row>
    <row r="115" spans="4:16" x14ac:dyDescent="0.5">
      <c r="D115" s="257"/>
      <c r="E115" s="257"/>
      <c r="F115" s="14"/>
      <c r="G115" s="14"/>
      <c r="I115" s="28"/>
    </row>
    <row r="116" spans="4:16" x14ac:dyDescent="0.5"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</row>
    <row r="117" spans="4:16" x14ac:dyDescent="0.5">
      <c r="E117" s="14"/>
      <c r="F117" s="28"/>
    </row>
    <row r="118" spans="4:16" x14ac:dyDescent="0.5">
      <c r="D118" s="257"/>
      <c r="E118" s="257"/>
    </row>
    <row r="119" spans="4:16" x14ac:dyDescent="0.5">
      <c r="D119" s="257"/>
      <c r="E119" s="257"/>
      <c r="F119" s="14"/>
      <c r="H119" s="28"/>
    </row>
    <row r="120" spans="4:16" x14ac:dyDescent="0.5">
      <c r="D120" s="257"/>
      <c r="E120" s="257"/>
      <c r="F120" s="257"/>
      <c r="G120" s="257"/>
      <c r="H120" s="257"/>
      <c r="I120" s="257"/>
      <c r="K120" s="257"/>
      <c r="L120" s="257"/>
      <c r="M120" s="257"/>
      <c r="N120" s="257"/>
      <c r="O120" s="257"/>
      <c r="P120" s="257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7"/>
      <c r="E133" s="257"/>
    </row>
    <row r="134" spans="2:11" x14ac:dyDescent="0.5">
      <c r="D134" s="257"/>
      <c r="E134" s="257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7"/>
      <c r="E145" s="257"/>
      <c r="F145" s="257"/>
      <c r="G145" s="257"/>
      <c r="H145" s="257"/>
      <c r="I145" s="257"/>
      <c r="K145" s="257"/>
      <c r="L145" s="257"/>
      <c r="M145" s="257"/>
      <c r="N145" s="257"/>
      <c r="O145" s="257"/>
      <c r="P145" s="257"/>
    </row>
    <row r="146" spans="2:16" x14ac:dyDescent="0.5">
      <c r="C146" s="37"/>
    </row>
    <row r="150" spans="2:16" x14ac:dyDescent="0.5">
      <c r="D150" s="257"/>
      <c r="E150" s="257"/>
      <c r="F150" s="257"/>
      <c r="G150" s="257"/>
      <c r="H150" s="257"/>
      <c r="I150" s="257"/>
      <c r="K150" s="257"/>
      <c r="L150" s="257"/>
      <c r="M150" s="257"/>
      <c r="N150" s="257"/>
      <c r="O150" s="257"/>
      <c r="P150" s="257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7"/>
      <c r="E157" s="257"/>
      <c r="F157" s="257"/>
      <c r="G157" s="257"/>
      <c r="H157" s="257"/>
      <c r="I157" s="257"/>
      <c r="K157" s="257"/>
      <c r="L157" s="257"/>
      <c r="M157" s="257"/>
      <c r="N157" s="257"/>
      <c r="O157" s="257"/>
      <c r="P157" s="257"/>
    </row>
    <row r="161" spans="5:6" x14ac:dyDescent="0.5">
      <c r="E161" s="14"/>
      <c r="F161" s="28"/>
    </row>
  </sheetData>
  <sheetProtection algorithmName="SHA-512" hashValue="GGZ3KiFuRhadzKk6jNTZ7Hvq3Zsch2DbPlKly1cjdasVetiKhcHVZGzkycgHlQZzi8TKoMwSFHNY/LR6Cn25wA==" saltValue="N6Naneh91DoQJFX2EKNl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4" t="s">
        <v>2</v>
      </c>
      <c r="D1" s="73">
        <f>SUM(D4:D46)</f>
        <v>24</v>
      </c>
      <c r="E1" s="182"/>
    </row>
    <row r="2" spans="1:9" s="26" customFormat="1" ht="13.15" thickBot="1" x14ac:dyDescent="0.4"/>
    <row r="3" spans="1:9" s="26" customFormat="1" x14ac:dyDescent="0.35">
      <c r="A3" s="272" t="s">
        <v>233</v>
      </c>
      <c r="B3" s="273"/>
      <c r="C3" s="273"/>
      <c r="D3" s="273"/>
      <c r="E3" s="273"/>
      <c r="G3" s="269" t="s">
        <v>234</v>
      </c>
      <c r="H3" s="270"/>
      <c r="I3" s="271"/>
    </row>
    <row r="4" spans="1:9" x14ac:dyDescent="0.35">
      <c r="A4" s="268" t="s">
        <v>228</v>
      </c>
      <c r="B4" s="268"/>
      <c r="C4" s="268"/>
      <c r="D4" s="183" t="s">
        <v>229</v>
      </c>
      <c r="E4" s="185" t="s">
        <v>271</v>
      </c>
      <c r="G4" s="77" t="s">
        <v>228</v>
      </c>
      <c r="H4" s="75" t="s">
        <v>117</v>
      </c>
      <c r="I4" s="78" t="s">
        <v>123</v>
      </c>
    </row>
    <row r="5" spans="1:9" x14ac:dyDescent="0.35">
      <c r="A5" s="268" t="s">
        <v>260</v>
      </c>
      <c r="B5" s="268"/>
      <c r="C5" s="268"/>
      <c r="D5" s="183">
        <v>15</v>
      </c>
      <c r="E5" s="186"/>
      <c r="G5" s="77" t="s">
        <v>262</v>
      </c>
      <c r="H5" s="76">
        <v>60</v>
      </c>
      <c r="I5" s="78">
        <v>2</v>
      </c>
    </row>
    <row r="6" spans="1:9" x14ac:dyDescent="0.35">
      <c r="A6" s="268" t="s">
        <v>263</v>
      </c>
      <c r="B6" s="268"/>
      <c r="C6" s="268"/>
      <c r="D6" s="184">
        <v>9</v>
      </c>
      <c r="E6" s="186">
        <v>1897</v>
      </c>
      <c r="G6" s="77" t="s">
        <v>272</v>
      </c>
      <c r="H6" s="76">
        <v>50</v>
      </c>
      <c r="I6" s="78">
        <v>2</v>
      </c>
    </row>
    <row r="7" spans="1:9" x14ac:dyDescent="0.35">
      <c r="A7" s="268"/>
      <c r="B7" s="268"/>
      <c r="C7" s="268"/>
      <c r="D7" s="184"/>
      <c r="E7" s="186"/>
      <c r="G7" s="77"/>
      <c r="H7" s="76"/>
      <c r="I7" s="78"/>
    </row>
    <row r="8" spans="1:9" x14ac:dyDescent="0.35">
      <c r="A8" s="268"/>
      <c r="B8" s="268"/>
      <c r="C8" s="268"/>
      <c r="D8" s="184"/>
      <c r="E8" s="186"/>
      <c r="G8" s="77"/>
      <c r="H8" s="76"/>
      <c r="I8" s="78"/>
    </row>
    <row r="9" spans="1:9" x14ac:dyDescent="0.35">
      <c r="A9" s="268"/>
      <c r="B9" s="268"/>
      <c r="C9" s="268"/>
      <c r="D9" s="183"/>
      <c r="E9" s="186"/>
      <c r="G9" s="77"/>
      <c r="H9" s="76"/>
      <c r="I9" s="78"/>
    </row>
    <row r="10" spans="1:9" x14ac:dyDescent="0.35">
      <c r="A10" s="268"/>
      <c r="B10" s="268"/>
      <c r="C10" s="268"/>
      <c r="D10" s="184"/>
      <c r="E10" s="186"/>
      <c r="G10" s="77"/>
      <c r="H10" s="76"/>
      <c r="I10" s="78"/>
    </row>
    <row r="11" spans="1:9" x14ac:dyDescent="0.35">
      <c r="A11" s="268"/>
      <c r="B11" s="268"/>
      <c r="C11" s="268"/>
      <c r="D11" s="183"/>
      <c r="E11" s="186"/>
      <c r="G11" s="77"/>
      <c r="H11" s="76"/>
      <c r="I11" s="78"/>
    </row>
    <row r="12" spans="1:9" x14ac:dyDescent="0.35">
      <c r="A12" s="268"/>
      <c r="B12" s="268"/>
      <c r="C12" s="268"/>
      <c r="D12" s="183"/>
      <c r="E12" s="186"/>
      <c r="G12" s="77"/>
      <c r="H12" s="76"/>
      <c r="I12" s="78"/>
    </row>
    <row r="13" spans="1:9" ht="13.15" thickBot="1" x14ac:dyDescent="0.4">
      <c r="A13" s="268"/>
      <c r="B13" s="268"/>
      <c r="C13" s="268"/>
      <c r="D13" s="183"/>
      <c r="E13" s="186"/>
      <c r="G13" s="79"/>
      <c r="H13" s="174"/>
      <c r="I13" s="80"/>
    </row>
    <row r="14" spans="1:9" x14ac:dyDescent="0.35">
      <c r="A14" s="268"/>
      <c r="B14" s="268"/>
      <c r="C14" s="268"/>
      <c r="D14" s="183"/>
      <c r="E14" s="186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F/Gkg93rU2baGhXuTvH/LLmCII+8J2PiLBMQW7kMWWSv4sOUjYh/fLJS0yMKNwOM15y654O6Lq+HWux4Ct9jzg==" saltValue="c7nRxoHMUOUyiBy1NwsZw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4" t="s">
        <v>26</v>
      </c>
      <c r="P1" s="274" t="s">
        <v>29</v>
      </c>
      <c r="Q1" s="274" t="s">
        <v>30</v>
      </c>
    </row>
    <row r="2" spans="1:21" x14ac:dyDescent="0.5">
      <c r="I2" s="27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4"/>
      <c r="Q2" s="27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5" t="s">
        <v>45</v>
      </c>
      <c r="K11" s="275"/>
      <c r="L11" s="275"/>
      <c r="M11" s="275"/>
      <c r="N11" s="27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2021-05-02T22:15:42Z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