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8650FB3B-E8B4-49BA-A87D-7E391C1F5BB1}" xr6:coauthVersionLast="46" xr6:coauthVersionMax="46" xr10:uidLastSave="{00000000-0000-0000-0000-000000000000}"/>
  <bookViews>
    <workbookView xWindow="-98" yWindow="-98" windowWidth="20715" windowHeight="13276" tabRatio="500" xr2:uid="{00000000-000D-0000-FFFF-FFFF00000000}"/>
  </bookViews>
  <sheets>
    <sheet name="Econ" sheetId="1" r:id="rId1"/>
    <sheet name="Militar" sheetId="2" r:id="rId2"/>
    <sheet name="Colonias" sheetId="3" r:id="rId3"/>
    <sheet name="Ferrocarriles" sheetId="4" r:id="rId4"/>
    <sheet name="Data" sheetId="5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6" i="5" l="1"/>
  <c r="E45" i="5"/>
  <c r="E44" i="5"/>
  <c r="E43" i="5"/>
  <c r="E42" i="5"/>
  <c r="E41" i="5"/>
  <c r="E40" i="5"/>
  <c r="M28" i="5"/>
  <c r="M27" i="5"/>
  <c r="M26" i="5"/>
  <c r="M25" i="5"/>
  <c r="M24" i="5"/>
  <c r="Q15" i="5"/>
  <c r="Q12" i="5"/>
  <c r="Q14" i="5" s="1"/>
  <c r="N6" i="5"/>
  <c r="O6" i="5" s="1"/>
  <c r="P6" i="5" s="1"/>
  <c r="M6" i="5"/>
  <c r="L6" i="5"/>
  <c r="K6" i="5"/>
  <c r="J6" i="5"/>
  <c r="Q6" i="5" s="1"/>
  <c r="L136" i="1" s="1"/>
  <c r="N5" i="5"/>
  <c r="O5" i="5" s="1"/>
  <c r="P5" i="5" s="1"/>
  <c r="M5" i="5"/>
  <c r="L5" i="5"/>
  <c r="K5" i="5"/>
  <c r="J5" i="5"/>
  <c r="Q5" i="5" s="1"/>
  <c r="L135" i="1" s="1"/>
  <c r="N4" i="5"/>
  <c r="O4" i="5" s="1"/>
  <c r="P4" i="5" s="1"/>
  <c r="M4" i="5"/>
  <c r="L4" i="5"/>
  <c r="K4" i="5"/>
  <c r="J4" i="5"/>
  <c r="Q4" i="5" s="1"/>
  <c r="L134" i="1" s="1"/>
  <c r="N3" i="5"/>
  <c r="O3" i="5" s="1"/>
  <c r="P3" i="5" s="1"/>
  <c r="M3" i="5"/>
  <c r="L3" i="5"/>
  <c r="K3" i="5"/>
  <c r="J3" i="5"/>
  <c r="Q3" i="5" s="1"/>
  <c r="L133" i="1" s="1"/>
  <c r="D1" i="4"/>
  <c r="B39" i="3"/>
  <c r="B38" i="3"/>
  <c r="B37" i="3"/>
  <c r="B36" i="3"/>
  <c r="B35" i="3"/>
  <c r="P7" i="3"/>
  <c r="O7" i="3"/>
  <c r="F33" i="1" s="1"/>
  <c r="F35" i="1" s="1"/>
  <c r="N7" i="3"/>
  <c r="M7" i="3"/>
  <c r="L7" i="3"/>
  <c r="K7" i="3"/>
  <c r="B33" i="1" s="1"/>
  <c r="B35" i="1" s="1"/>
  <c r="I7" i="3"/>
  <c r="H7" i="3"/>
  <c r="G7" i="3"/>
  <c r="F7" i="3"/>
  <c r="D32" i="1" s="1"/>
  <c r="D34" i="1" s="1"/>
  <c r="E7" i="3"/>
  <c r="D7" i="3"/>
  <c r="C7" i="3"/>
  <c r="C95" i="2"/>
  <c r="C91" i="2"/>
  <c r="C88" i="2"/>
  <c r="C78" i="2"/>
  <c r="B99" i="2" s="1"/>
  <c r="O11" i="2" s="1"/>
  <c r="H71" i="2"/>
  <c r="L59" i="2"/>
  <c r="J59" i="2"/>
  <c r="H59" i="2"/>
  <c r="F59" i="2"/>
  <c r="D59" i="2"/>
  <c r="B59" i="2"/>
  <c r="H36" i="2"/>
  <c r="B36" i="2"/>
  <c r="J25" i="2"/>
  <c r="H25" i="2"/>
  <c r="F25" i="2"/>
  <c r="D25" i="2"/>
  <c r="B25" i="2"/>
  <c r="B35" i="2" s="1"/>
  <c r="B37" i="2" s="1"/>
  <c r="P8" i="2" s="1"/>
  <c r="G200" i="1"/>
  <c r="C173" i="1"/>
  <c r="C172" i="1"/>
  <c r="C171" i="1"/>
  <c r="C170" i="1"/>
  <c r="C174" i="1" s="1"/>
  <c r="G156" i="1"/>
  <c r="F156" i="1"/>
  <c r="C156" i="1"/>
  <c r="B156" i="1"/>
  <c r="G155" i="1"/>
  <c r="F155" i="1"/>
  <c r="C155" i="1"/>
  <c r="B155" i="1"/>
  <c r="G154" i="1"/>
  <c r="F154" i="1"/>
  <c r="C154" i="1"/>
  <c r="B154" i="1"/>
  <c r="G153" i="1"/>
  <c r="F153" i="1"/>
  <c r="C153" i="1"/>
  <c r="B153" i="1"/>
  <c r="G152" i="1"/>
  <c r="F152" i="1"/>
  <c r="C152" i="1"/>
  <c r="B152" i="1"/>
  <c r="G151" i="1"/>
  <c r="G157" i="1" s="1"/>
  <c r="C151" i="1"/>
  <c r="B151" i="1"/>
  <c r="F151" i="1" s="1"/>
  <c r="F157" i="1" s="1"/>
  <c r="B147" i="1"/>
  <c r="I142" i="1"/>
  <c r="M136" i="1"/>
  <c r="K136" i="1"/>
  <c r="B136" i="1"/>
  <c r="M135" i="1"/>
  <c r="K135" i="1"/>
  <c r="B135" i="1"/>
  <c r="M134" i="1"/>
  <c r="K134" i="1"/>
  <c r="B134" i="1"/>
  <c r="M133" i="1"/>
  <c r="K133" i="1"/>
  <c r="B133" i="1"/>
  <c r="B132" i="1"/>
  <c r="F117" i="1"/>
  <c r="E117" i="1"/>
  <c r="G116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E110" i="1"/>
  <c r="F109" i="1"/>
  <c r="E109" i="1"/>
  <c r="F103" i="1"/>
  <c r="F102" i="1"/>
  <c r="F101" i="1"/>
  <c r="F100" i="1"/>
  <c r="F104" i="1" s="1"/>
  <c r="F94" i="1"/>
  <c r="E94" i="1"/>
  <c r="C94" i="1"/>
  <c r="B94" i="1"/>
  <c r="F93" i="1"/>
  <c r="E93" i="1"/>
  <c r="C93" i="1"/>
  <c r="B93" i="1"/>
  <c r="F92" i="1"/>
  <c r="E92" i="1"/>
  <c r="C92" i="1"/>
  <c r="B92" i="1"/>
  <c r="F91" i="1"/>
  <c r="F95" i="1" s="1"/>
  <c r="E91" i="1"/>
  <c r="E95" i="1" s="1"/>
  <c r="C91" i="1"/>
  <c r="B91" i="1"/>
  <c r="H87" i="1"/>
  <c r="E87" i="1" s="1"/>
  <c r="G87" i="1"/>
  <c r="F87" i="1"/>
  <c r="C87" i="1"/>
  <c r="B87" i="1"/>
  <c r="H86" i="1"/>
  <c r="E86" i="1" s="1"/>
  <c r="G86" i="1"/>
  <c r="F86" i="1"/>
  <c r="C86" i="1"/>
  <c r="B86" i="1"/>
  <c r="H85" i="1"/>
  <c r="E85" i="1" s="1"/>
  <c r="G85" i="1"/>
  <c r="F85" i="1"/>
  <c r="C85" i="1"/>
  <c r="B85" i="1"/>
  <c r="H84" i="1"/>
  <c r="E84" i="1" s="1"/>
  <c r="G84" i="1"/>
  <c r="F84" i="1"/>
  <c r="C84" i="1"/>
  <c r="B84" i="1"/>
  <c r="H83" i="1"/>
  <c r="E83" i="1" s="1"/>
  <c r="G83" i="1"/>
  <c r="F83" i="1"/>
  <c r="C83" i="1"/>
  <c r="B83" i="1"/>
  <c r="G82" i="1"/>
  <c r="F82" i="1"/>
  <c r="E82" i="1"/>
  <c r="O28" i="5" s="1"/>
  <c r="G81" i="1"/>
  <c r="F81" i="1"/>
  <c r="P27" i="5" s="1"/>
  <c r="Q27" i="5" s="1"/>
  <c r="E81" i="1"/>
  <c r="O27" i="5" s="1"/>
  <c r="G80" i="1"/>
  <c r="F80" i="1"/>
  <c r="E80" i="1"/>
  <c r="O26" i="5" s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E73" i="1"/>
  <c r="G73" i="1" s="1"/>
  <c r="G72" i="1"/>
  <c r="F72" i="1"/>
  <c r="E72" i="1"/>
  <c r="O25" i="5" s="1"/>
  <c r="G71" i="1"/>
  <c r="F71" i="1"/>
  <c r="E71" i="1"/>
  <c r="O24" i="5" s="1"/>
  <c r="I63" i="1"/>
  <c r="H63" i="1"/>
  <c r="I62" i="1"/>
  <c r="G62" i="1"/>
  <c r="F62" i="1"/>
  <c r="I61" i="1"/>
  <c r="G61" i="1"/>
  <c r="F61" i="1"/>
  <c r="I60" i="1"/>
  <c r="D60" i="1"/>
  <c r="G55" i="1"/>
  <c r="F55" i="1"/>
  <c r="E55" i="1"/>
  <c r="D55" i="1"/>
  <c r="C55" i="1"/>
  <c r="B55" i="1"/>
  <c r="O53" i="1"/>
  <c r="N53" i="1"/>
  <c r="M53" i="1"/>
  <c r="L53" i="1"/>
  <c r="K53" i="1"/>
  <c r="J53" i="1"/>
  <c r="G53" i="1"/>
  <c r="F53" i="1"/>
  <c r="E53" i="1"/>
  <c r="D53" i="1"/>
  <c r="C53" i="1"/>
  <c r="B53" i="1"/>
  <c r="G33" i="1"/>
  <c r="G35" i="1" s="1"/>
  <c r="E33" i="1"/>
  <c r="E35" i="1" s="1"/>
  <c r="D33" i="1"/>
  <c r="D35" i="1" s="1"/>
  <c r="C33" i="1"/>
  <c r="C35" i="1" s="1"/>
  <c r="G32" i="1"/>
  <c r="G34" i="1" s="1"/>
  <c r="F32" i="1"/>
  <c r="F34" i="1" s="1"/>
  <c r="E32" i="1"/>
  <c r="E34" i="1" s="1"/>
  <c r="C32" i="1"/>
  <c r="C34" i="1" s="1"/>
  <c r="B32" i="1"/>
  <c r="B34" i="1" s="1"/>
  <c r="G31" i="1"/>
  <c r="F31" i="1"/>
  <c r="E31" i="1"/>
  <c r="D31" i="1"/>
  <c r="C31" i="1"/>
  <c r="B31" i="1"/>
  <c r="N29" i="1"/>
  <c r="M29" i="1"/>
  <c r="L29" i="1"/>
  <c r="K29" i="1"/>
  <c r="N28" i="1"/>
  <c r="M28" i="1"/>
  <c r="L28" i="1"/>
  <c r="K28" i="1"/>
  <c r="N27" i="1"/>
  <c r="M27" i="1"/>
  <c r="L27" i="1"/>
  <c r="K27" i="1"/>
  <c r="N26" i="1"/>
  <c r="M26" i="1"/>
  <c r="L26" i="1"/>
  <c r="K26" i="1"/>
  <c r="N25" i="1"/>
  <c r="M25" i="1"/>
  <c r="L25" i="1"/>
  <c r="K25" i="1"/>
  <c r="N24" i="1"/>
  <c r="M24" i="1"/>
  <c r="L24" i="1"/>
  <c r="K24" i="1"/>
  <c r="E24" i="1"/>
  <c r="E25" i="1" s="1"/>
  <c r="C24" i="1"/>
  <c r="C25" i="1" s="1"/>
  <c r="C56" i="1" s="1"/>
  <c r="C64" i="1" s="1"/>
  <c r="B24" i="1"/>
  <c r="B25" i="1" s="1"/>
  <c r="B56" i="1" s="1"/>
  <c r="B64" i="1" s="1"/>
  <c r="N23" i="1"/>
  <c r="P51" i="1" s="1"/>
  <c r="M23" i="1"/>
  <c r="L23" i="1"/>
  <c r="K23" i="1"/>
  <c r="H52" i="1" s="1"/>
  <c r="G23" i="1"/>
  <c r="G25" i="1" s="1"/>
  <c r="F23" i="1"/>
  <c r="F25" i="1" s="1"/>
  <c r="F56" i="1" s="1"/>
  <c r="E23" i="1"/>
  <c r="D23" i="1"/>
  <c r="D25" i="1" s="1"/>
  <c r="D56" i="1" s="1"/>
  <c r="D64" i="1" s="1"/>
  <c r="C23" i="1"/>
  <c r="B23" i="1"/>
  <c r="B9" i="1"/>
  <c r="I8" i="1"/>
  <c r="I9" i="1" s="1"/>
  <c r="H51" i="1" l="1"/>
  <c r="H53" i="1" s="1"/>
  <c r="P24" i="5"/>
  <c r="Q24" i="5" s="1"/>
  <c r="P52" i="1"/>
  <c r="P53" i="1" s="1"/>
  <c r="B64" i="2"/>
  <c r="B66" i="2" s="1"/>
  <c r="P9" i="2" s="1"/>
  <c r="P12" i="2" s="1"/>
  <c r="B5" i="1" s="1"/>
  <c r="B8" i="1" s="1"/>
  <c r="H157" i="1"/>
  <c r="F118" i="1"/>
  <c r="G56" i="1"/>
  <c r="F64" i="1"/>
  <c r="G64" i="1"/>
  <c r="I64" i="1"/>
  <c r="G88" i="1"/>
  <c r="E56" i="1"/>
  <c r="E64" i="1" s="1"/>
  <c r="P25" i="5"/>
  <c r="Q25" i="5" s="1"/>
  <c r="P28" i="5"/>
  <c r="Q28" i="5" s="1"/>
  <c r="E96" i="1"/>
  <c r="B122" i="1"/>
  <c r="L137" i="1"/>
  <c r="P26" i="5"/>
  <c r="Q26" i="5" s="1"/>
  <c r="F73" i="1"/>
  <c r="G28" i="2"/>
  <c r="Q13" i="5"/>
  <c r="B65" i="2" l="1"/>
  <c r="O9" i="2" s="1"/>
  <c r="O12" i="2" s="1"/>
  <c r="B11" i="1" s="1"/>
  <c r="B15" i="1" s="1"/>
  <c r="H56" i="1" s="1"/>
  <c r="H64" i="1" s="1"/>
  <c r="F119" i="1" s="1"/>
  <c r="E122" i="1" s="1"/>
  <c r="G63" i="2"/>
  <c r="S16" i="5"/>
  <c r="R16" i="5"/>
  <c r="Q18" i="5" s="1"/>
  <c r="Q16" i="5"/>
  <c r="Q17" i="5" s="1"/>
  <c r="H142" i="1" s="1"/>
  <c r="B123" i="1"/>
  <c r="B127" i="1"/>
  <c r="D127" i="1" s="1"/>
  <c r="G202" i="1" l="1"/>
  <c r="J28" i="2" s="1"/>
  <c r="H72" i="2" s="1"/>
  <c r="D10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2" authorId="0" shapeId="0" xr:uid="{00000000-0006-0000-0400-000008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lots
</t>
        </r>
      </text>
    </comment>
    <comment ref="O2" authorId="0" shapeId="0" xr:uid="{00000000-0006-0000-0400-000009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retools on the line.
</t>
        </r>
      </text>
    </comment>
    <comment ref="P12" authorId="0" shapeId="0" xr:uid="{00000000-0006-0000-0400-00000A000000}">
      <text>
        <r>
          <rPr>
            <sz val="9"/>
            <color rgb="FF000000"/>
            <rFont val="Tahoma"/>
            <family val="2"/>
            <charset val="1"/>
          </rPr>
          <t xml:space="preserve">Total Populaton
</t>
        </r>
      </text>
    </comment>
    <comment ref="Q12" authorId="0" shapeId="0" xr:uid="{00000000-0006-0000-0400-00000B000000}">
      <text>
        <r>
          <rPr>
            <b/>
            <sz val="9"/>
            <color rgb="FF000000"/>
            <rFont val="Tahoma"/>
            <family val="2"/>
            <charset val="1"/>
          </rPr>
          <t>Total population rounded up</t>
        </r>
      </text>
    </comment>
    <comment ref="Q15" authorId="0" shapeId="0" xr:uid="{00000000-0006-0000-0400-00000C000000}">
      <text>
        <r>
          <rPr>
            <b/>
            <sz val="9"/>
            <color rgb="FF000000"/>
            <rFont val="Tahoma"/>
            <family val="2"/>
            <charset val="1"/>
          </rPr>
          <t xml:space="preserve">Volunter Army +$5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Q16" authorId="0" shapeId="0" xr:uid="{00000000-0006-0000-0400-00000D000000}">
      <text>
        <r>
          <rPr>
            <b/>
            <sz val="9"/>
            <color rgb="FF000000"/>
            <rFont val="Tahoma"/>
            <family val="2"/>
            <charset val="1"/>
          </rPr>
          <t xml:space="preserve">Over limit Cost - $5 if over 150%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R16" authorId="0" shapeId="0" xr:uid="{00000000-0006-0000-0400-00000E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divs are less than population: -$5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S16" authorId="0" shapeId="0" xr:uid="{00000000-0006-0000-0400-00000F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 &gt; 2X Population: +$5 (Reserves only)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C22" authorId="0" shapeId="0" xr:uid="{00000000-0006-0000-04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Gunboats
</t>
        </r>
      </text>
    </comment>
    <comment ref="D22" authorId="0" shapeId="0" xr:uid="{00000000-0006-0000-0400-000003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>Destroyers</t>
        </r>
      </text>
    </comment>
    <comment ref="E22" authorId="0" shapeId="0" xr:uid="{00000000-0006-0000-0400-000005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Cruisers
</t>
        </r>
      </text>
    </comment>
    <comment ref="F22" authorId="0" shapeId="0" xr:uid="{00000000-0006-0000-0400-000006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Submarines
</t>
        </r>
      </text>
    </comment>
    <comment ref="G22" authorId="0" shapeId="0" xr:uid="{00000000-0006-0000-0400-000007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Battleships
</t>
        </r>
      </text>
    </comment>
    <comment ref="C31" authorId="0" shapeId="0" xr:uid="{00000000-0006-0000-04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ship sizes need per year of construction
</t>
        </r>
      </text>
    </comment>
    <comment ref="D31" authorId="0" shapeId="0" xr:uid="{00000000-0006-0000-0400-000004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<sst xmlns="http://schemas.openxmlformats.org/spreadsheetml/2006/main" count="601" uniqueCount="279">
  <si>
    <t>Economía</t>
  </si>
  <si>
    <t xml:space="preserve"> </t>
  </si>
  <si>
    <t>V2.1</t>
  </si>
  <si>
    <t>País</t>
  </si>
  <si>
    <t>EE.CC</t>
  </si>
  <si>
    <t>Año:</t>
  </si>
  <si>
    <t>Población (millones)</t>
  </si>
  <si>
    <t>Crec:</t>
  </si>
  <si>
    <t>Bajo</t>
  </si>
  <si>
    <t>Población Tasable (millones):</t>
  </si>
  <si>
    <t>Nivel Económico (I.D.H):</t>
  </si>
  <si>
    <t>Normal</t>
  </si>
  <si>
    <t>Ingresos:</t>
  </si>
  <si>
    <t>Creditos en Vigor</t>
  </si>
  <si>
    <t>Nacionales:</t>
  </si>
  <si>
    <t>Pago de Intereses</t>
  </si>
  <si>
    <t>Colonial/Ferrocarril</t>
  </si>
  <si>
    <t>Total</t>
  </si>
  <si>
    <t>Saldo anterior presupuesto:</t>
  </si>
  <si>
    <t>Mantenimiento:</t>
  </si>
  <si>
    <t>Intereses</t>
  </si>
  <si>
    <t>Calif. Deuda:</t>
  </si>
  <si>
    <t>B</t>
  </si>
  <si>
    <t>Balance Neto</t>
  </si>
  <si>
    <t>Recursos</t>
  </si>
  <si>
    <t>Industria</t>
  </si>
  <si>
    <t>Comida</t>
  </si>
  <si>
    <t>Mat Primas</t>
  </si>
  <si>
    <t>Exóticos</t>
  </si>
  <si>
    <t>Carbón</t>
  </si>
  <si>
    <t>Hierro</t>
  </si>
  <si>
    <t>Tabla de precios</t>
  </si>
  <si>
    <t>Nacional</t>
  </si>
  <si>
    <t>Mercado Mundial</t>
  </si>
  <si>
    <t>Mercado Cautivo</t>
  </si>
  <si>
    <t>Ultramar</t>
  </si>
  <si>
    <t>Base $</t>
  </si>
  <si>
    <t>Compra</t>
  </si>
  <si>
    <t>Venta</t>
  </si>
  <si>
    <t>Producción Total:</t>
  </si>
  <si>
    <t>Bienes</t>
  </si>
  <si>
    <t>Necesidades:</t>
  </si>
  <si>
    <t>Balance:</t>
  </si>
  <si>
    <t>Mat. Primas</t>
  </si>
  <si>
    <t>Petroleo*</t>
  </si>
  <si>
    <t>* - No disponible hasta 1905</t>
  </si>
  <si>
    <t>Recursos en Mercados Cautivos</t>
  </si>
  <si>
    <t>Les compramos</t>
  </si>
  <si>
    <t>Les vendemos</t>
  </si>
  <si>
    <t>Compras no cubiertas</t>
  </si>
  <si>
    <t>No factorizado automáticamente - deberá ser adquirido en la linea correspondiente de comercio.</t>
  </si>
  <si>
    <t>Ventas no cubiertas</t>
  </si>
  <si>
    <t>Si el valor es distinto de cero la demanda no habrá sido cubierta resultando en problemas políticos y/o posibles contracciones del mercado.</t>
  </si>
  <si>
    <t>Comercio y producción</t>
  </si>
  <si>
    <t>(Exportaciones/Ventas/Envíos)</t>
  </si>
  <si>
    <t>(Importaciones/Compras/Recepciones)</t>
  </si>
  <si>
    <t>Efectivo</t>
  </si>
  <si>
    <t>GB</t>
  </si>
  <si>
    <t>Mercados Cautivos</t>
  </si>
  <si>
    <t>Balance</t>
  </si>
  <si>
    <t>Balance de recursos</t>
  </si>
  <si>
    <t>Producción de Bienes</t>
  </si>
  <si>
    <t>Bienes/IP</t>
  </si>
  <si>
    <t>Usando 1 Ind + 1 Mat Prima</t>
  </si>
  <si>
    <t>Usando 2 Ind + 1 Carbón + 1 Hiero</t>
  </si>
  <si>
    <t>1 Industria Pesada (IP) = 1 Ind+1 Hierro+ 1 Carbón</t>
  </si>
  <si>
    <t>Exóticos = 1 Ind + 6 $</t>
  </si>
  <si>
    <t xml:space="preserve">Balance </t>
  </si>
  <si>
    <t>Gastos</t>
  </si>
  <si>
    <t>Inversiones en recursos</t>
  </si>
  <si>
    <t>Base</t>
  </si>
  <si>
    <t>% Increm.</t>
  </si>
  <si>
    <t>Probabilidad de éxito</t>
  </si>
  <si>
    <t>Coste</t>
  </si>
  <si>
    <t>¿FFCC?</t>
  </si>
  <si>
    <t>Inversión</t>
  </si>
  <si>
    <t>%</t>
  </si>
  <si>
    <t>¿Invertir?</t>
  </si>
  <si>
    <t>Si</t>
  </si>
  <si>
    <t>No</t>
  </si>
  <si>
    <t>Tropical (Cuba)</t>
  </si>
  <si>
    <t>Tropical (La)</t>
  </si>
  <si>
    <t>Materias Primas</t>
  </si>
  <si>
    <t>Inversiones infraestructuras</t>
  </si>
  <si>
    <t>FFCC</t>
  </si>
  <si>
    <t>Años</t>
  </si>
  <si>
    <t>IP</t>
  </si>
  <si>
    <t xml:space="preserve">Total </t>
  </si>
  <si>
    <t>Inversiones otros paises (Necesario el permiso del país soberano)</t>
  </si>
  <si>
    <t>País/Inversión</t>
  </si>
  <si>
    <t>Total:</t>
  </si>
  <si>
    <t>Investigaciones tecnológicas</t>
  </si>
  <si>
    <t>Inicio</t>
  </si>
  <si>
    <t>Fin</t>
  </si>
  <si>
    <t>Tecnología</t>
  </si>
  <si>
    <t>(AL) Armas Ligeras D</t>
  </si>
  <si>
    <t>(AM) Ametralladoras D</t>
  </si>
  <si>
    <t>(AC) Artillería de Campaña D</t>
  </si>
  <si>
    <t>(AA) Artilería de Asedio D</t>
  </si>
  <si>
    <t>(Ac) Acorazados C</t>
  </si>
  <si>
    <t>(Cr) Cruceros D</t>
  </si>
  <si>
    <t>(BM) Buques Menores D</t>
  </si>
  <si>
    <t>Sintéticos I</t>
  </si>
  <si>
    <t>Balance efectivo</t>
  </si>
  <si>
    <t>Construcción de armamento y unidades militares</t>
  </si>
  <si>
    <t>IP Disponible</t>
  </si>
  <si>
    <t>Ejercito</t>
  </si>
  <si>
    <t>Marina</t>
  </si>
  <si>
    <t>Equipamiento Ejercito</t>
  </si>
  <si>
    <t>Puntos usados</t>
  </si>
  <si>
    <t xml:space="preserve"> (hasta 8 puntos por línea)</t>
  </si>
  <si>
    <t>AL</t>
  </si>
  <si>
    <t>Tec</t>
  </si>
  <si>
    <t>AM</t>
  </si>
  <si>
    <t>AC</t>
  </si>
  <si>
    <t>AA</t>
  </si>
  <si>
    <t>Linea 1</t>
  </si>
  <si>
    <t>Linea 2</t>
  </si>
  <si>
    <t>Linea 3</t>
  </si>
  <si>
    <t>Linea 4</t>
  </si>
  <si>
    <t>Coste reclutamiento personal básico por unidad</t>
  </si>
  <si>
    <t>Inf Reg</t>
  </si>
  <si>
    <t>Inf Res</t>
  </si>
  <si>
    <t>Art Campaña</t>
  </si>
  <si>
    <t>Art Asedio</t>
  </si>
  <si>
    <t>Fza Laboral</t>
  </si>
  <si>
    <t>Total Módulos Navales</t>
  </si>
  <si>
    <t>Módulos usados</t>
  </si>
  <si>
    <t>Nueva Construcción</t>
  </si>
  <si>
    <t>Tamaño</t>
  </si>
  <si>
    <t>Cantidad</t>
  </si>
  <si>
    <t>Submarino</t>
  </si>
  <si>
    <t>Dique seco</t>
  </si>
  <si>
    <t>Años por completar</t>
  </si>
  <si>
    <t>Instalaciones Militares:</t>
  </si>
  <si>
    <t>Localización</t>
  </si>
  <si>
    <t>Tipo</t>
  </si>
  <si>
    <t>Otros gastos</t>
  </si>
  <si>
    <t>Descripción</t>
  </si>
  <si>
    <t>Coste ($)</t>
  </si>
  <si>
    <t>Información Militar</t>
  </si>
  <si>
    <t>Info Ejército</t>
  </si>
  <si>
    <t>Inf res</t>
  </si>
  <si>
    <t>Total Mantenimiento Militar:</t>
  </si>
  <si>
    <t>Fza Lab</t>
  </si>
  <si>
    <t>Estados del Este</t>
  </si>
  <si>
    <t>E</t>
  </si>
  <si>
    <t>Ejerc</t>
  </si>
  <si>
    <t>F</t>
  </si>
  <si>
    <t>Monterrey</t>
  </si>
  <si>
    <t>Cuba</t>
  </si>
  <si>
    <t>Instalaciones</t>
  </si>
  <si>
    <t>Reservas Indias</t>
  </si>
  <si>
    <t xml:space="preserve">Total  </t>
  </si>
  <si>
    <t>Eficiencia Militar</t>
  </si>
  <si>
    <t>Excelente</t>
  </si>
  <si>
    <t>Coste de Entrenamiento Ejército:</t>
  </si>
  <si>
    <t>Cuerpo Voluntarios:</t>
  </si>
  <si>
    <t xml:space="preserve">Mobilization: </t>
  </si>
  <si>
    <t>8,5 semanas</t>
  </si>
  <si>
    <t>Entrenamiento Ejercito</t>
  </si>
  <si>
    <t>Notas</t>
  </si>
  <si>
    <t>Regulares</t>
  </si>
  <si>
    <t>Reserva</t>
  </si>
  <si>
    <t xml:space="preserve">Costes de mobilización anual </t>
  </si>
  <si>
    <t>Inf</t>
  </si>
  <si>
    <t>Guerra Total</t>
  </si>
  <si>
    <t>Conflicto Transfonterizo</t>
  </si>
  <si>
    <t>Expediciones coloniales</t>
  </si>
  <si>
    <t>Info Naval</t>
  </si>
  <si>
    <t>Ac</t>
  </si>
  <si>
    <t>Cr</t>
  </si>
  <si>
    <t>Su</t>
  </si>
  <si>
    <t>Destruc</t>
  </si>
  <si>
    <t>Cañonera</t>
  </si>
  <si>
    <t>Transporte</t>
  </si>
  <si>
    <t>Atlantico</t>
  </si>
  <si>
    <t>C</t>
  </si>
  <si>
    <t xml:space="preserve">  </t>
  </si>
  <si>
    <t>Coste Entrenamiento Naval</t>
  </si>
  <si>
    <t>Modulos Navales</t>
  </si>
  <si>
    <t>Mant. Marina</t>
  </si>
  <si>
    <t>Entrenamiento Marina</t>
  </si>
  <si>
    <t>(million)</t>
  </si>
  <si>
    <t>Pais</t>
  </si>
  <si>
    <t>Info Inst Militares</t>
  </si>
  <si>
    <t>Puertos</t>
  </si>
  <si>
    <t>Metropoli</t>
  </si>
  <si>
    <t>Atlantico: Charleston, Norfolk, Miami // Caribe: Key West, Havana, Nueva Orleans, Guantanamo, Tampa</t>
  </si>
  <si>
    <t>Otros</t>
  </si>
  <si>
    <t>Astilleros</t>
  </si>
  <si>
    <t>Atlantico: Charleston(2), Miami(2), Norfolk (2) // Caribe: Key West, (2), Havana(2), Nueva Orleans (2), Tampa(2), Guantanamo(2)</t>
  </si>
  <si>
    <t>Fuertes</t>
  </si>
  <si>
    <t xml:space="preserve">Pilottown (boca del Mississippi), Miami, Tampa, Charleston, Ashland, Vicksburg, Paducah, Louisville, Richmond, Key West, Havana  </t>
  </si>
  <si>
    <t>Fortalezas</t>
  </si>
  <si>
    <t>Menphis, Norfolk, Washington</t>
  </si>
  <si>
    <t>End Cash</t>
  </si>
  <si>
    <t>Colonias, Mercados e Inversiones Cautivas</t>
  </si>
  <si>
    <t>Aportan</t>
  </si>
  <si>
    <t>Necesitan</t>
  </si>
  <si>
    <t>Dispone</t>
  </si>
  <si>
    <t>Necesita</t>
  </si>
  <si>
    <t>Goods</t>
  </si>
  <si>
    <t>Food</t>
  </si>
  <si>
    <t>Raw</t>
  </si>
  <si>
    <t>Tropical</t>
  </si>
  <si>
    <t>Coal</t>
  </si>
  <si>
    <t>Iron</t>
  </si>
  <si>
    <t>Inversiones disponibles</t>
  </si>
  <si>
    <t>Recurso</t>
  </si>
  <si>
    <t>Sonora</t>
  </si>
  <si>
    <t>El Paso</t>
  </si>
  <si>
    <t>Mat Prima</t>
  </si>
  <si>
    <t>Hermosillo</t>
  </si>
  <si>
    <t>Fort Worth</t>
  </si>
  <si>
    <t>Materia Prima</t>
  </si>
  <si>
    <t>Amarillo</t>
  </si>
  <si>
    <t>Existentes</t>
  </si>
  <si>
    <t>Disponibles</t>
  </si>
  <si>
    <t>Proyecto</t>
  </si>
  <si>
    <t>Ingresa</t>
  </si>
  <si>
    <t>Año</t>
  </si>
  <si>
    <t>Nueva Orleans-Sonora</t>
  </si>
  <si>
    <t>Expansión FFCC Estados del Este</t>
  </si>
  <si>
    <t>Nueva Orleans- Dallas-Santa Fe (Nuevo México)</t>
  </si>
  <si>
    <t>Nueva Orleans-Monterrey</t>
  </si>
  <si>
    <t>Quality</t>
  </si>
  <si>
    <t>Land Build Cost</t>
  </si>
  <si>
    <t>Retool Cost</t>
  </si>
  <si>
    <t>Total cost</t>
  </si>
  <si>
    <t>SA</t>
  </si>
  <si>
    <t>MG</t>
  </si>
  <si>
    <t>FA</t>
  </si>
  <si>
    <t>HA</t>
  </si>
  <si>
    <t>Count</t>
  </si>
  <si>
    <t>Retool(s)</t>
  </si>
  <si>
    <t>Military Installations</t>
  </si>
  <si>
    <t>Yes/No</t>
  </si>
  <si>
    <t>A</t>
  </si>
  <si>
    <t>Line 1</t>
  </si>
  <si>
    <t>Line 2</t>
  </si>
  <si>
    <t>Fuerte</t>
  </si>
  <si>
    <t>Line 3</t>
  </si>
  <si>
    <t>Fortaleza</t>
  </si>
  <si>
    <t>D</t>
  </si>
  <si>
    <t>Line 4</t>
  </si>
  <si>
    <t>Puerto</t>
  </si>
  <si>
    <t>Astillero</t>
  </si>
  <si>
    <t>Land Builds</t>
  </si>
  <si>
    <t>Economic System</t>
  </si>
  <si>
    <t>Cost to recruit</t>
  </si>
  <si>
    <t>Income</t>
  </si>
  <si>
    <t>Pop:</t>
  </si>
  <si>
    <t>Boom</t>
  </si>
  <si>
    <t>Divs</t>
  </si>
  <si>
    <t>Fallido</t>
  </si>
  <si>
    <t>Recesión</t>
  </si>
  <si>
    <t>Vol</t>
  </si>
  <si>
    <t>Inf cost</t>
  </si>
  <si>
    <t>Próspero</t>
  </si>
  <si>
    <t>Reg Troops</t>
  </si>
  <si>
    <t>Estancado</t>
  </si>
  <si>
    <t>Res Troops</t>
  </si>
  <si>
    <t>Exitoso</t>
  </si>
  <si>
    <t>Naval Builds</t>
  </si>
  <si>
    <t>DD</t>
  </si>
  <si>
    <t>CA</t>
  </si>
  <si>
    <t>Sub</t>
  </si>
  <si>
    <t>BB</t>
  </si>
  <si>
    <t>Investment Data</t>
  </si>
  <si>
    <t>Ship Types</t>
  </si>
  <si>
    <t>Ship Size</t>
  </si>
  <si>
    <t>TTC</t>
  </si>
  <si>
    <t>Acorazado</t>
  </si>
  <si>
    <t>Crucero</t>
  </si>
  <si>
    <t>Destructor</t>
  </si>
  <si>
    <t>Line</t>
  </si>
  <si>
    <t>(Su) Submarinos A</t>
  </si>
  <si>
    <t>En 1897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</si>
</sst>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"/>
    <numFmt numFmtId="165" formatCode="\$#,##0_);[Red]&quot;($&quot;#,##0\)"/>
    <numFmt numFmtId="166" formatCode="0\ %"/>
    <numFmt numFmtId="167" formatCode="0_);[Red]\(0\)"/>
    <numFmt numFmtId="168" formatCode="_-* #,##0&quot; €&quot;_-;\-* #,##0&quot; €&quot;_-;_-* \-??&quot; €&quot;_-;_-@_-"/>
    <numFmt numFmtId="169" formatCode="_(\$* #,##0_);_(\$* \(#,##0\);_(\$* \-_);_(@_)"/>
    <numFmt numFmtId="170" formatCode="_-* #,##0.00&quot; €&quot;_-;\-* #,##0.00&quot; €&quot;_-;_-* \-??&quot; €&quot;_-;_-@_-"/>
    <numFmt numFmtId="171" formatCode="0.0"/>
  </numFmts>
  <fonts count="17" x14ac:knownFonts="1">
    <font>
      <sz val="10"/>
      <color rgb="FF000000"/>
      <name val="Arial"/>
      <family val="2"/>
      <charset val="1"/>
    </font>
    <font>
      <sz val="14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4"/>
      <color rgb="FFFFFFFF"/>
      <name val="Times New Roman"/>
      <family val="1"/>
      <charset val="1"/>
    </font>
    <font>
      <sz val="14"/>
      <color rgb="FFFF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color rgb="FF00B050"/>
      <name val="Times New Roman"/>
      <family val="1"/>
      <charset val="1"/>
    </font>
    <font>
      <sz val="14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1"/>
    </font>
    <font>
      <b/>
      <sz val="14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DBEEF4"/>
        <bgColor rgb="FFCCFFFF"/>
      </patternFill>
    </fill>
    <fill>
      <patternFill patternType="solid">
        <fgColor rgb="FFD9D9D9"/>
        <bgColor rgb="FFDBEEF4"/>
      </patternFill>
    </fill>
    <fill>
      <patternFill patternType="solid">
        <fgColor rgb="FF000000"/>
        <bgColor rgb="FF003300"/>
      </patternFill>
    </fill>
    <fill>
      <patternFill patternType="solid">
        <fgColor rgb="FF8EB4E3"/>
        <bgColor rgb="FF9999FF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70" fontId="16" fillId="0" borderId="0" applyBorder="0" applyProtection="0"/>
    <xf numFmtId="166" fontId="16" fillId="0" borderId="0" applyBorder="0" applyProtection="0"/>
  </cellStyleXfs>
  <cellXfs count="202">
    <xf numFmtId="0" fontId="0" fillId="0" borderId="0" xfId="0"/>
    <xf numFmtId="0" fontId="1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2" fontId="1" fillId="3" borderId="1" xfId="0" applyNumberFormat="1" applyFont="1" applyFill="1" applyBorder="1" applyAlignment="1" applyProtection="1">
      <alignment horizontal="center"/>
    </xf>
    <xf numFmtId="164" fontId="1" fillId="3" borderId="1" xfId="0" applyNumberFormat="1" applyFont="1" applyFill="1" applyBorder="1" applyAlignment="1" applyProtection="1">
      <alignment horizontal="center"/>
    </xf>
    <xf numFmtId="164" fontId="4" fillId="0" borderId="0" xfId="0" applyNumberFormat="1" applyFont="1" applyAlignment="1" applyProtection="1">
      <alignment horizontal="left"/>
    </xf>
    <xf numFmtId="164" fontId="1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5" fontId="1" fillId="0" borderId="0" xfId="0" applyNumberFormat="1" applyFont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2" fontId="1" fillId="0" borderId="0" xfId="0" applyNumberFormat="1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164" fontId="1" fillId="3" borderId="2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1" fontId="1" fillId="3" borderId="3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1" fontId="1" fillId="0" borderId="0" xfId="0" applyNumberFormat="1" applyFont="1" applyBorder="1" applyAlignment="1" applyProtection="1">
      <alignment horizontal="left"/>
    </xf>
    <xf numFmtId="1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167" fontId="1" fillId="3" borderId="1" xfId="0" applyNumberFormat="1" applyFont="1" applyFill="1" applyBorder="1" applyAlignment="1" applyProtection="1">
      <alignment horizontal="center"/>
    </xf>
    <xf numFmtId="1" fontId="1" fillId="0" borderId="0" xfId="0" applyNumberFormat="1" applyFont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left" vertical="center"/>
      <protection locked="0"/>
    </xf>
    <xf numFmtId="167" fontId="1" fillId="4" borderId="4" xfId="0" applyNumberFormat="1" applyFont="1" applyFill="1" applyBorder="1" applyAlignment="1" applyProtection="1">
      <alignment horizontal="center"/>
      <protection locked="0"/>
    </xf>
    <xf numFmtId="167" fontId="1" fillId="4" borderId="6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</xf>
    <xf numFmtId="167" fontId="1" fillId="3" borderId="7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67" fontId="1" fillId="0" borderId="0" xfId="0" applyNumberFormat="1" applyFont="1" applyAlignment="1" applyProtection="1">
      <alignment horizontal="center"/>
    </xf>
    <xf numFmtId="165" fontId="1" fillId="3" borderId="1" xfId="0" applyNumberFormat="1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164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0" xfId="0" applyFont="1" applyAlignment="1" applyProtection="1"/>
    <xf numFmtId="0" fontId="1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/>
    </xf>
    <xf numFmtId="0" fontId="1" fillId="3" borderId="1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164" fontId="1" fillId="3" borderId="7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4" borderId="1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left"/>
      <protection locked="0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3" borderId="8" xfId="0" applyFont="1" applyFill="1" applyBorder="1" applyAlignment="1" applyProtection="1">
      <alignment horizontal="center"/>
    </xf>
    <xf numFmtId="164" fontId="1" fillId="3" borderId="8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right"/>
    </xf>
    <xf numFmtId="167" fontId="1" fillId="4" borderId="1" xfId="0" applyNumberFormat="1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" fontId="7" fillId="4" borderId="1" xfId="0" applyNumberFormat="1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left"/>
    </xf>
    <xf numFmtId="0" fontId="2" fillId="0" borderId="0" xfId="0" applyFont="1" applyBorder="1" applyAlignment="1" applyProtection="1"/>
    <xf numFmtId="0" fontId="1" fillId="0" borderId="0" xfId="0" applyFont="1" applyBorder="1" applyAlignment="1" applyProtection="1"/>
    <xf numFmtId="0" fontId="1" fillId="3" borderId="1" xfId="0" applyFont="1" applyFill="1" applyBorder="1" applyProtection="1"/>
    <xf numFmtId="0" fontId="7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/>
    <xf numFmtId="165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right"/>
    </xf>
    <xf numFmtId="164" fontId="5" fillId="3" borderId="2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3" fontId="5" fillId="3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5" fontId="5" fillId="3" borderId="1" xfId="0" applyNumberFormat="1" applyFont="1" applyFill="1" applyBorder="1" applyAlignment="1">
      <alignment horizontal="center"/>
    </xf>
    <xf numFmtId="0" fontId="8" fillId="0" borderId="0" xfId="0" applyFont="1" applyAlignment="1"/>
    <xf numFmtId="0" fontId="5" fillId="0" borderId="0" xfId="0" applyFont="1" applyAlignment="1"/>
    <xf numFmtId="0" fontId="5" fillId="3" borderId="2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22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11" fillId="0" borderId="0" xfId="0" applyFont="1" applyAlignment="1">
      <alignment horizontal="left"/>
    </xf>
    <xf numFmtId="0" fontId="5" fillId="3" borderId="23" xfId="0" applyFont="1" applyFill="1" applyBorder="1" applyAlignment="1">
      <alignment horizontal="center"/>
    </xf>
    <xf numFmtId="164" fontId="5" fillId="3" borderId="23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/>
    </xf>
    <xf numFmtId="0" fontId="0" fillId="3" borderId="13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3" borderId="16" xfId="0" applyFill="1" applyBorder="1" applyAlignment="1">
      <alignment vertical="top"/>
    </xf>
    <xf numFmtId="164" fontId="5" fillId="3" borderId="25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7" xfId="0" applyFont="1" applyBorder="1" applyAlignment="1">
      <alignment horizontal="center"/>
    </xf>
    <xf numFmtId="168" fontId="1" fillId="3" borderId="1" xfId="0" applyNumberFormat="1" applyFont="1" applyFill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/>
    <xf numFmtId="165" fontId="1" fillId="3" borderId="4" xfId="0" applyNumberFormat="1" applyFont="1" applyFill="1" applyBorder="1" applyAlignment="1">
      <alignment horizontal="center"/>
    </xf>
    <xf numFmtId="168" fontId="1" fillId="3" borderId="4" xfId="0" applyNumberFormat="1" applyFont="1" applyFill="1" applyBorder="1" applyAlignment="1"/>
    <xf numFmtId="166" fontId="1" fillId="3" borderId="4" xfId="2" applyFont="1" applyFill="1" applyBorder="1" applyAlignment="1" applyProtection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3" fillId="0" borderId="0" xfId="0" applyFont="1" applyBorder="1"/>
    <xf numFmtId="166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3" borderId="0" xfId="0" applyFont="1" applyFill="1"/>
    <xf numFmtId="169" fontId="0" fillId="3" borderId="4" xfId="0" applyNumberFormat="1" applyFill="1" applyBorder="1"/>
    <xf numFmtId="169" fontId="0" fillId="3" borderId="0" xfId="0" applyNumberFormat="1" applyFill="1" applyBorder="1"/>
    <xf numFmtId="169" fontId="0" fillId="3" borderId="4" xfId="0" applyNumberFormat="1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18" xfId="0" applyFont="1" applyFill="1" applyBorder="1"/>
    <xf numFmtId="1" fontId="0" fillId="3" borderId="4" xfId="0" applyNumberFormat="1" applyFill="1" applyBorder="1" applyAlignment="1">
      <alignment horizontal="center" vertical="center"/>
    </xf>
    <xf numFmtId="168" fontId="0" fillId="3" borderId="4" xfId="1" applyNumberFormat="1" applyFont="1" applyFill="1" applyBorder="1" applyAlignment="1" applyProtection="1"/>
    <xf numFmtId="165" fontId="0" fillId="3" borderId="4" xfId="0" applyNumberFormat="1" applyFill="1" applyBorder="1"/>
    <xf numFmtId="0" fontId="0" fillId="3" borderId="29" xfId="0" applyFill="1" applyBorder="1" applyAlignment="1">
      <alignment horizontal="center"/>
    </xf>
    <xf numFmtId="168" fontId="0" fillId="3" borderId="30" xfId="1" applyNumberFormat="1" applyFont="1" applyFill="1" applyBorder="1" applyAlignment="1" applyProtection="1"/>
    <xf numFmtId="0" fontId="0" fillId="3" borderId="31" xfId="0" applyFill="1" applyBorder="1"/>
    <xf numFmtId="169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7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2" fillId="2" borderId="0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wrapText="1"/>
    </xf>
    <xf numFmtId="0" fontId="1" fillId="3" borderId="12" xfId="0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/>
    </xf>
    <xf numFmtId="0" fontId="5" fillId="3" borderId="24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 wrapText="1"/>
    </xf>
    <xf numFmtId="0" fontId="12" fillId="6" borderId="0" xfId="0" applyFont="1" applyFill="1" applyBorder="1" applyAlignment="1">
      <alignment horizontal="center"/>
    </xf>
    <xf numFmtId="0" fontId="7" fillId="0" borderId="26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0" fillId="3" borderId="4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4" name="_x0000_t202" hidden="1">
          <a:extLst>
            <a:ext uri="{FF2B5EF4-FFF2-40B4-BE49-F238E27FC236}">
              <a16:creationId xmlns:a16="http://schemas.microsoft.com/office/drawing/2014/main" id="{7B920D81-9CE2-4C13-AB15-7F856C15668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2" name="_x0000_t202" hidden="1">
          <a:extLst>
            <a:ext uri="{FF2B5EF4-FFF2-40B4-BE49-F238E27FC236}">
              <a16:creationId xmlns:a16="http://schemas.microsoft.com/office/drawing/2014/main" id="{38DF3519-9C22-4C8A-BEBC-8151C2489497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0" name="_x0000_t202" hidden="1">
          <a:extLst>
            <a:ext uri="{FF2B5EF4-FFF2-40B4-BE49-F238E27FC236}">
              <a16:creationId xmlns:a16="http://schemas.microsoft.com/office/drawing/2014/main" id="{50411E5B-4B53-4C06-BFEE-44E20D90462B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8" name="_x0000_t202" hidden="1">
          <a:extLst>
            <a:ext uri="{FF2B5EF4-FFF2-40B4-BE49-F238E27FC236}">
              <a16:creationId xmlns:a16="http://schemas.microsoft.com/office/drawing/2014/main" id="{2B74B56B-DC69-4F92-BCEF-577D6F23B55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6" name="_x0000_t202" hidden="1">
          <a:extLst>
            <a:ext uri="{FF2B5EF4-FFF2-40B4-BE49-F238E27FC236}">
              <a16:creationId xmlns:a16="http://schemas.microsoft.com/office/drawing/2014/main" id="{CBBEFEA6-3178-40A2-99C0-3429E1F379F8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4" name="_x0000_t202" hidden="1">
          <a:extLst>
            <a:ext uri="{FF2B5EF4-FFF2-40B4-BE49-F238E27FC236}">
              <a16:creationId xmlns:a16="http://schemas.microsoft.com/office/drawing/2014/main" id="{CB440EE0-1CB9-462F-A13B-64AEB0FDFB2C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2" name="_x0000_t202" hidden="1">
          <a:extLst>
            <a:ext uri="{FF2B5EF4-FFF2-40B4-BE49-F238E27FC236}">
              <a16:creationId xmlns:a16="http://schemas.microsoft.com/office/drawing/2014/main" id="{3362E345-6921-4A4D-8CA0-778E84F2FEF6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0" name="_x0000_t202" hidden="1">
          <a:extLst>
            <a:ext uri="{FF2B5EF4-FFF2-40B4-BE49-F238E27FC236}">
              <a16:creationId xmlns:a16="http://schemas.microsoft.com/office/drawing/2014/main" id="{E92FA91C-8394-4B77-90B4-D9F604DF5C02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8" name="_x0000_t202" hidden="1">
          <a:extLst>
            <a:ext uri="{FF2B5EF4-FFF2-40B4-BE49-F238E27FC236}">
              <a16:creationId xmlns:a16="http://schemas.microsoft.com/office/drawing/2014/main" id="{9C2232A8-B876-4887-9C75-664AD48DF37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6" name="_x0000_t202" hidden="1">
          <a:extLst>
            <a:ext uri="{FF2B5EF4-FFF2-40B4-BE49-F238E27FC236}">
              <a16:creationId xmlns:a16="http://schemas.microsoft.com/office/drawing/2014/main" id="{69A53768-A835-4AB2-9A99-4EF8D8BFB03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4" name="_x0000_t202" hidden="1">
          <a:extLst>
            <a:ext uri="{FF2B5EF4-FFF2-40B4-BE49-F238E27FC236}">
              <a16:creationId xmlns:a16="http://schemas.microsoft.com/office/drawing/2014/main" id="{5D1F9A69-A014-4D0C-88D0-D05F4B86B07A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2" name="_x0000_t202" hidden="1">
          <a:extLst>
            <a:ext uri="{FF2B5EF4-FFF2-40B4-BE49-F238E27FC236}">
              <a16:creationId xmlns:a16="http://schemas.microsoft.com/office/drawing/2014/main" id="{87AE4879-D49B-4613-A20E-537EA5AEE19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0" name="_x0000_t202" hidden="1">
          <a:extLst>
            <a:ext uri="{FF2B5EF4-FFF2-40B4-BE49-F238E27FC236}">
              <a16:creationId xmlns:a16="http://schemas.microsoft.com/office/drawing/2014/main" id="{42697B85-FF21-470F-A8AD-F7FE88AFBED8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AAE581AB-BAB4-4088-BD12-908C084DD7D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36B5F90-02A0-428E-B53F-E89BB29E3444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" name="AutoShape 30">
          <a:extLst>
            <a:ext uri="{FF2B5EF4-FFF2-40B4-BE49-F238E27FC236}">
              <a16:creationId xmlns:a16="http://schemas.microsoft.com/office/drawing/2014/main" id="{87E9F6E3-A9D2-4D83-BF8F-4ABF362E6E8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" name="AutoShape 28">
          <a:extLst>
            <a:ext uri="{FF2B5EF4-FFF2-40B4-BE49-F238E27FC236}">
              <a16:creationId xmlns:a16="http://schemas.microsoft.com/office/drawing/2014/main" id="{80070505-3BEE-44D5-8EAC-22205AF2CE4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" name="AutoShape 26">
          <a:extLst>
            <a:ext uri="{FF2B5EF4-FFF2-40B4-BE49-F238E27FC236}">
              <a16:creationId xmlns:a16="http://schemas.microsoft.com/office/drawing/2014/main" id="{DA1310B6-FB01-46A7-B32E-A1C97DCADA6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" name="AutoShape 24">
          <a:extLst>
            <a:ext uri="{FF2B5EF4-FFF2-40B4-BE49-F238E27FC236}">
              <a16:creationId xmlns:a16="http://schemas.microsoft.com/office/drawing/2014/main" id="{A526C9FD-1C89-47CF-AC01-8CC8AF3DDFD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6" name="AutoShape 22">
          <a:extLst>
            <a:ext uri="{FF2B5EF4-FFF2-40B4-BE49-F238E27FC236}">
              <a16:creationId xmlns:a16="http://schemas.microsoft.com/office/drawing/2014/main" id="{20C24E8D-1E49-4A97-8598-BDF112134E2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" name="AutoShape 20">
          <a:extLst>
            <a:ext uri="{FF2B5EF4-FFF2-40B4-BE49-F238E27FC236}">
              <a16:creationId xmlns:a16="http://schemas.microsoft.com/office/drawing/2014/main" id="{6420EAAC-94DE-498B-B18B-6A7512DA7DF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id="{4767EB65-85E4-44BA-9919-0582E2DF010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" name="AutoShape 16">
          <a:extLst>
            <a:ext uri="{FF2B5EF4-FFF2-40B4-BE49-F238E27FC236}">
              <a16:creationId xmlns:a16="http://schemas.microsoft.com/office/drawing/2014/main" id="{012FDA3F-1A17-4F3A-B36D-1D64722BAE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" name="AutoShape 14">
          <a:extLst>
            <a:ext uri="{FF2B5EF4-FFF2-40B4-BE49-F238E27FC236}">
              <a16:creationId xmlns:a16="http://schemas.microsoft.com/office/drawing/2014/main" id="{8AEF0A14-E8E3-45B5-BF88-8887690A679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" name="AutoShape 12">
          <a:extLst>
            <a:ext uri="{FF2B5EF4-FFF2-40B4-BE49-F238E27FC236}">
              <a16:creationId xmlns:a16="http://schemas.microsoft.com/office/drawing/2014/main" id="{C6E6271C-A812-44FF-B1F3-194872A1EF8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" name="AutoShape 10">
          <a:extLst>
            <a:ext uri="{FF2B5EF4-FFF2-40B4-BE49-F238E27FC236}">
              <a16:creationId xmlns:a16="http://schemas.microsoft.com/office/drawing/2014/main" id="{3BFB1C8A-A339-457A-B3D6-ABD3D9E5F4E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3" name="AutoShape 8">
          <a:extLst>
            <a:ext uri="{FF2B5EF4-FFF2-40B4-BE49-F238E27FC236}">
              <a16:creationId xmlns:a16="http://schemas.microsoft.com/office/drawing/2014/main" id="{5D404307-7506-4A7A-BC82-15AB0AD9D39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77BCD386-86A1-4115-AE12-ADE5398F59C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B11432E-5800-499E-90D4-4D3EBC4B3EE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9D8C740D-F383-4DF0-9B68-602E50657D6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7" name="AutoShape 30">
          <a:extLst>
            <a:ext uri="{FF2B5EF4-FFF2-40B4-BE49-F238E27FC236}">
              <a16:creationId xmlns:a16="http://schemas.microsoft.com/office/drawing/2014/main" id="{9B7FE9CB-4C71-4122-9C35-C7CA6996CD6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8" name="AutoShape 28">
          <a:extLst>
            <a:ext uri="{FF2B5EF4-FFF2-40B4-BE49-F238E27FC236}">
              <a16:creationId xmlns:a16="http://schemas.microsoft.com/office/drawing/2014/main" id="{283BEBA5-F85C-4463-A015-94DE0AD6965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9" name="AutoShape 26">
          <a:extLst>
            <a:ext uri="{FF2B5EF4-FFF2-40B4-BE49-F238E27FC236}">
              <a16:creationId xmlns:a16="http://schemas.microsoft.com/office/drawing/2014/main" id="{9D350C0D-40EF-4ABF-A243-B42209AA29A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0" name="AutoShape 24">
          <a:extLst>
            <a:ext uri="{FF2B5EF4-FFF2-40B4-BE49-F238E27FC236}">
              <a16:creationId xmlns:a16="http://schemas.microsoft.com/office/drawing/2014/main" id="{F63E4A63-FA12-4085-B411-FFF995F02B9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1" name="AutoShape 22">
          <a:extLst>
            <a:ext uri="{FF2B5EF4-FFF2-40B4-BE49-F238E27FC236}">
              <a16:creationId xmlns:a16="http://schemas.microsoft.com/office/drawing/2014/main" id="{DF0B001E-CDE4-4568-8ABF-0854C87E022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2" name="AutoShape 20">
          <a:extLst>
            <a:ext uri="{FF2B5EF4-FFF2-40B4-BE49-F238E27FC236}">
              <a16:creationId xmlns:a16="http://schemas.microsoft.com/office/drawing/2014/main" id="{16A1F795-1788-4235-8A2C-2566C75BB87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3" name="AutoShape 18">
          <a:extLst>
            <a:ext uri="{FF2B5EF4-FFF2-40B4-BE49-F238E27FC236}">
              <a16:creationId xmlns:a16="http://schemas.microsoft.com/office/drawing/2014/main" id="{2947EF05-B88B-48BB-A97D-A3CC5CD22A4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4" name="AutoShape 16">
          <a:extLst>
            <a:ext uri="{FF2B5EF4-FFF2-40B4-BE49-F238E27FC236}">
              <a16:creationId xmlns:a16="http://schemas.microsoft.com/office/drawing/2014/main" id="{AA2B176C-4C0C-48D1-BCC6-1AAF6491177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5" name="AutoShape 14">
          <a:extLst>
            <a:ext uri="{FF2B5EF4-FFF2-40B4-BE49-F238E27FC236}">
              <a16:creationId xmlns:a16="http://schemas.microsoft.com/office/drawing/2014/main" id="{249A3298-2BF6-4620-88BB-3DB4A7F135E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6" name="AutoShape 12">
          <a:extLst>
            <a:ext uri="{FF2B5EF4-FFF2-40B4-BE49-F238E27FC236}">
              <a16:creationId xmlns:a16="http://schemas.microsoft.com/office/drawing/2014/main" id="{CF43D51D-DB93-4BE4-9A51-85C9620F5C0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7" name="AutoShape 10">
          <a:extLst>
            <a:ext uri="{FF2B5EF4-FFF2-40B4-BE49-F238E27FC236}">
              <a16:creationId xmlns:a16="http://schemas.microsoft.com/office/drawing/2014/main" id="{61EFC6C1-AA18-46D2-9B4C-84E364F2A2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8" name="AutoShape 8">
          <a:extLst>
            <a:ext uri="{FF2B5EF4-FFF2-40B4-BE49-F238E27FC236}">
              <a16:creationId xmlns:a16="http://schemas.microsoft.com/office/drawing/2014/main" id="{66A9F71E-283A-47D5-8111-C1C147B0DD3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D34241D7-266A-4E03-B8D5-B54E3D4FB9F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6C5B095F-9A39-4B2A-B639-274D6A71738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CA8EFA5E-966A-4B41-9B43-CD2913731AD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2" name="AutoShape 30">
          <a:extLst>
            <a:ext uri="{FF2B5EF4-FFF2-40B4-BE49-F238E27FC236}">
              <a16:creationId xmlns:a16="http://schemas.microsoft.com/office/drawing/2014/main" id="{2CDFBE06-F40F-431A-ACCA-0301AACD7FC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3" name="AutoShape 28">
          <a:extLst>
            <a:ext uri="{FF2B5EF4-FFF2-40B4-BE49-F238E27FC236}">
              <a16:creationId xmlns:a16="http://schemas.microsoft.com/office/drawing/2014/main" id="{B9E69F33-A2DB-4E5C-9BCF-ABE682D6BEF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4" name="AutoShape 26">
          <a:extLst>
            <a:ext uri="{FF2B5EF4-FFF2-40B4-BE49-F238E27FC236}">
              <a16:creationId xmlns:a16="http://schemas.microsoft.com/office/drawing/2014/main" id="{51E7C5BC-5289-43A7-9321-C2B67339D92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5" name="AutoShape 24">
          <a:extLst>
            <a:ext uri="{FF2B5EF4-FFF2-40B4-BE49-F238E27FC236}">
              <a16:creationId xmlns:a16="http://schemas.microsoft.com/office/drawing/2014/main" id="{4AC4CC37-ED83-498A-802D-04DB7F1D411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6" name="AutoShape 22">
          <a:extLst>
            <a:ext uri="{FF2B5EF4-FFF2-40B4-BE49-F238E27FC236}">
              <a16:creationId xmlns:a16="http://schemas.microsoft.com/office/drawing/2014/main" id="{97E8FFEA-A2D4-4514-A62B-EC1EDB8C388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7" name="AutoShape 20">
          <a:extLst>
            <a:ext uri="{FF2B5EF4-FFF2-40B4-BE49-F238E27FC236}">
              <a16:creationId xmlns:a16="http://schemas.microsoft.com/office/drawing/2014/main" id="{81DFA4A0-F796-4609-B3BA-04157938B93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8" name="AutoShape 18">
          <a:extLst>
            <a:ext uri="{FF2B5EF4-FFF2-40B4-BE49-F238E27FC236}">
              <a16:creationId xmlns:a16="http://schemas.microsoft.com/office/drawing/2014/main" id="{0B7FA811-6C9E-41BF-A7A5-8ECBDD1EDF2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9" name="AutoShape 16">
          <a:extLst>
            <a:ext uri="{FF2B5EF4-FFF2-40B4-BE49-F238E27FC236}">
              <a16:creationId xmlns:a16="http://schemas.microsoft.com/office/drawing/2014/main" id="{9B5E96D0-146C-4F57-802F-B1CBE01FD69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0A39F3B8-A436-4374-8D66-ECEE078D4C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1" name="AutoShape 12">
          <a:extLst>
            <a:ext uri="{FF2B5EF4-FFF2-40B4-BE49-F238E27FC236}">
              <a16:creationId xmlns:a16="http://schemas.microsoft.com/office/drawing/2014/main" id="{C16E9D49-1760-4D80-B01A-F14CDB15989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2" name="AutoShape 10">
          <a:extLst>
            <a:ext uri="{FF2B5EF4-FFF2-40B4-BE49-F238E27FC236}">
              <a16:creationId xmlns:a16="http://schemas.microsoft.com/office/drawing/2014/main" id="{315579B2-9751-4B49-BF5A-64B22039A79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3" name="AutoShape 8">
          <a:extLst>
            <a:ext uri="{FF2B5EF4-FFF2-40B4-BE49-F238E27FC236}">
              <a16:creationId xmlns:a16="http://schemas.microsoft.com/office/drawing/2014/main" id="{EE57DD44-3E55-4A2C-A07B-67C4AC3F367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1168F80F-9F8B-47AA-8CDB-FFB9E729642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DFF42534-BC44-4541-97A0-0673871B5E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C8195633-AA56-4F98-B2BA-A67D51AC7F8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7" name="AutoShape 30">
          <a:extLst>
            <a:ext uri="{FF2B5EF4-FFF2-40B4-BE49-F238E27FC236}">
              <a16:creationId xmlns:a16="http://schemas.microsoft.com/office/drawing/2014/main" id="{F28F5196-EF2F-41BF-81F1-055E5AAF5AB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8" name="AutoShape 28">
          <a:extLst>
            <a:ext uri="{FF2B5EF4-FFF2-40B4-BE49-F238E27FC236}">
              <a16:creationId xmlns:a16="http://schemas.microsoft.com/office/drawing/2014/main" id="{A0ADA899-92D1-4213-907F-6067C0B4E82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9" name="AutoShape 26">
          <a:extLst>
            <a:ext uri="{FF2B5EF4-FFF2-40B4-BE49-F238E27FC236}">
              <a16:creationId xmlns:a16="http://schemas.microsoft.com/office/drawing/2014/main" id="{8B4DFACF-3157-4B56-8A8F-1EB98DED305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0" name="AutoShape 24">
          <a:extLst>
            <a:ext uri="{FF2B5EF4-FFF2-40B4-BE49-F238E27FC236}">
              <a16:creationId xmlns:a16="http://schemas.microsoft.com/office/drawing/2014/main" id="{4EA13284-5331-4704-B8C4-FE085174E6B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1" name="AutoShape 22">
          <a:extLst>
            <a:ext uri="{FF2B5EF4-FFF2-40B4-BE49-F238E27FC236}">
              <a16:creationId xmlns:a16="http://schemas.microsoft.com/office/drawing/2014/main" id="{FB402F88-A1CF-49FA-8CFB-CABAEAF7356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2" name="AutoShape 20">
          <a:extLst>
            <a:ext uri="{FF2B5EF4-FFF2-40B4-BE49-F238E27FC236}">
              <a16:creationId xmlns:a16="http://schemas.microsoft.com/office/drawing/2014/main" id="{3AA45938-1D85-4EEB-891D-10CEB3DF9B5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3" name="AutoShape 18">
          <a:extLst>
            <a:ext uri="{FF2B5EF4-FFF2-40B4-BE49-F238E27FC236}">
              <a16:creationId xmlns:a16="http://schemas.microsoft.com/office/drawing/2014/main" id="{48C326EC-A150-49DE-918D-3D155692B25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4" name="AutoShape 16">
          <a:extLst>
            <a:ext uri="{FF2B5EF4-FFF2-40B4-BE49-F238E27FC236}">
              <a16:creationId xmlns:a16="http://schemas.microsoft.com/office/drawing/2014/main" id="{EA6E686C-5B22-4506-A7D6-7157D5FE592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5" name="AutoShape 14">
          <a:extLst>
            <a:ext uri="{FF2B5EF4-FFF2-40B4-BE49-F238E27FC236}">
              <a16:creationId xmlns:a16="http://schemas.microsoft.com/office/drawing/2014/main" id="{53BCCB3D-1C5D-401C-91AC-16BDC325E33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6" name="AutoShape 12">
          <a:extLst>
            <a:ext uri="{FF2B5EF4-FFF2-40B4-BE49-F238E27FC236}">
              <a16:creationId xmlns:a16="http://schemas.microsoft.com/office/drawing/2014/main" id="{4A42DE11-52B1-49CA-8B6B-14992505EFC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7" name="AutoShape 10">
          <a:extLst>
            <a:ext uri="{FF2B5EF4-FFF2-40B4-BE49-F238E27FC236}">
              <a16:creationId xmlns:a16="http://schemas.microsoft.com/office/drawing/2014/main" id="{5E72624A-C3F1-4910-89C4-6569E28CBDF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8" name="AutoShape 8">
          <a:extLst>
            <a:ext uri="{FF2B5EF4-FFF2-40B4-BE49-F238E27FC236}">
              <a16:creationId xmlns:a16="http://schemas.microsoft.com/office/drawing/2014/main" id="{47DC2F0D-DAD4-4810-9D94-6CDCFF37E19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AB60190F-F19D-4573-8172-AD78BB77EB5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8280E06-6E6F-4F0E-A055-A38DBB96CCF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61" name="AutoShape 2">
          <a:extLst>
            <a:ext uri="{FF2B5EF4-FFF2-40B4-BE49-F238E27FC236}">
              <a16:creationId xmlns:a16="http://schemas.microsoft.com/office/drawing/2014/main" id="{97C3A2FC-6929-4082-B9A2-CA2E41AF826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02"/>
  <sheetViews>
    <sheetView showGridLines="0" tabSelected="1" zoomScale="70" zoomScaleNormal="70" workbookViewId="0">
      <selection sqref="A1:P1"/>
    </sheetView>
  </sheetViews>
  <sheetFormatPr defaultRowHeight="17.649999999999999" x14ac:dyDescent="0.5"/>
  <cols>
    <col min="1" max="1" width="48.53125" style="1" customWidth="1"/>
    <col min="2" max="2" width="12.53125" style="1" customWidth="1"/>
    <col min="3" max="3" width="16.3984375" style="1" customWidth="1"/>
    <col min="4" max="4" width="12.33203125" style="1" customWidth="1"/>
    <col min="5" max="5" width="12" style="1" customWidth="1"/>
    <col min="6" max="6" width="21.6640625" style="1" customWidth="1"/>
    <col min="7" max="7" width="11.6640625" style="1" customWidth="1"/>
    <col min="8" max="8" width="11" style="1" customWidth="1"/>
    <col min="9" max="9" width="12.86328125" style="1" customWidth="1"/>
    <col min="10" max="10" width="10.33203125" style="1" customWidth="1"/>
    <col min="11" max="11" width="12.1328125" style="1" customWidth="1"/>
    <col min="12" max="15" width="9.1328125" style="1" customWidth="1"/>
    <col min="16" max="16" width="10.86328125" style="1" customWidth="1"/>
    <col min="17" max="1025" width="9.1328125" style="1" customWidth="1"/>
  </cols>
  <sheetData>
    <row r="1" spans="1:16" x14ac:dyDescent="0.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6" x14ac:dyDescent="0.5">
      <c r="A2" s="2" t="s">
        <v>1</v>
      </c>
      <c r="B2" s="2" t="s">
        <v>2</v>
      </c>
    </row>
    <row r="3" spans="1:16" x14ac:dyDescent="0.5">
      <c r="A3" s="3" t="s">
        <v>3</v>
      </c>
      <c r="B3" s="3" t="s">
        <v>4</v>
      </c>
      <c r="G3" s="3" t="s">
        <v>5</v>
      </c>
      <c r="H3" s="3">
        <v>1898</v>
      </c>
    </row>
    <row r="4" spans="1:16" x14ac:dyDescent="0.5">
      <c r="A4" s="3" t="s">
        <v>6</v>
      </c>
      <c r="B4" s="3">
        <v>23.28</v>
      </c>
      <c r="C4" s="4"/>
      <c r="G4" s="3" t="s">
        <v>7</v>
      </c>
      <c r="H4" s="3" t="s">
        <v>8</v>
      </c>
    </row>
    <row r="5" spans="1:16" x14ac:dyDescent="0.5">
      <c r="A5" s="3" t="s">
        <v>9</v>
      </c>
      <c r="B5" s="5">
        <f>B4-Militar!P12</f>
        <v>17.670000000000002</v>
      </c>
    </row>
    <row r="6" spans="1:16" x14ac:dyDescent="0.5">
      <c r="A6" s="3" t="s">
        <v>10</v>
      </c>
      <c r="B6" s="3" t="s">
        <v>11</v>
      </c>
    </row>
    <row r="7" spans="1:16" x14ac:dyDescent="0.5">
      <c r="A7" s="167" t="s">
        <v>12</v>
      </c>
      <c r="B7" s="167"/>
      <c r="G7" s="167" t="s">
        <v>13</v>
      </c>
      <c r="H7" s="167"/>
      <c r="I7" s="6">
        <v>0</v>
      </c>
      <c r="J7" s="7"/>
    </row>
    <row r="8" spans="1:16" x14ac:dyDescent="0.5">
      <c r="A8" s="3" t="s">
        <v>14</v>
      </c>
      <c r="B8" s="6">
        <f>(VLOOKUP(B6,Econ_chart,5,0))*B5</f>
        <v>141.36000000000001</v>
      </c>
      <c r="C8" s="8"/>
      <c r="G8" s="167" t="s">
        <v>15</v>
      </c>
      <c r="H8" s="167"/>
      <c r="I8" s="6">
        <f>I7*J13</f>
        <v>0</v>
      </c>
    </row>
    <row r="9" spans="1:16" x14ac:dyDescent="0.5">
      <c r="A9" s="3" t="s">
        <v>16</v>
      </c>
      <c r="B9" s="6">
        <f>Colonias!D3+Ferrocarriles!D1</f>
        <v>39</v>
      </c>
      <c r="C9" s="8"/>
      <c r="H9" s="3" t="s">
        <v>17</v>
      </c>
      <c r="I9" s="6">
        <f>SUM(I7:I8)</f>
        <v>0</v>
      </c>
      <c r="J9" s="9"/>
    </row>
    <row r="10" spans="1:16" x14ac:dyDescent="0.5">
      <c r="A10" s="3" t="s">
        <v>18</v>
      </c>
      <c r="B10" s="6">
        <v>2</v>
      </c>
    </row>
    <row r="11" spans="1:16" x14ac:dyDescent="0.5">
      <c r="A11" s="3" t="s">
        <v>19</v>
      </c>
      <c r="B11" s="6">
        <f>Militar!O12</f>
        <v>60</v>
      </c>
      <c r="J11" s="10"/>
      <c r="K11" s="168"/>
    </row>
    <row r="12" spans="1:16" ht="19.5" customHeight="1" x14ac:dyDescent="0.5">
      <c r="A12" s="10"/>
      <c r="B12" s="11"/>
      <c r="C12" s="10"/>
      <c r="D12" s="168"/>
      <c r="G12" s="169"/>
      <c r="H12" s="169"/>
      <c r="I12" s="12"/>
      <c r="J12" s="3" t="s">
        <v>20</v>
      </c>
      <c r="K12" s="168"/>
    </row>
    <row r="13" spans="1:16" x14ac:dyDescent="0.5">
      <c r="A13" s="10"/>
      <c r="B13" s="11"/>
      <c r="C13" s="10"/>
      <c r="D13" s="168"/>
      <c r="G13" s="167" t="s">
        <v>21</v>
      </c>
      <c r="H13" s="167"/>
      <c r="I13" s="3" t="s">
        <v>22</v>
      </c>
      <c r="J13" s="13">
        <v>0.2</v>
      </c>
      <c r="K13" s="12"/>
    </row>
    <row r="14" spans="1:16" x14ac:dyDescent="0.5">
      <c r="A14" s="10"/>
      <c r="B14" s="11"/>
      <c r="C14" s="14"/>
      <c r="D14" s="12"/>
      <c r="H14" s="10"/>
      <c r="I14" s="12"/>
    </row>
    <row r="15" spans="1:16" x14ac:dyDescent="0.5">
      <c r="A15" s="3" t="s">
        <v>23</v>
      </c>
      <c r="B15" s="6">
        <f>B8+B9+B10-B11</f>
        <v>122.36000000000001</v>
      </c>
    </row>
    <row r="17" spans="1:17" x14ac:dyDescent="0.5">
      <c r="A17" s="1" t="s">
        <v>1</v>
      </c>
      <c r="B17" s="1" t="s">
        <v>1</v>
      </c>
    </row>
    <row r="18" spans="1:17" x14ac:dyDescent="0.5">
      <c r="A18" s="166" t="s">
        <v>24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20" spans="1:17" x14ac:dyDescent="0.5">
      <c r="A20" s="1" t="s">
        <v>1</v>
      </c>
      <c r="B20" s="3" t="s">
        <v>25</v>
      </c>
      <c r="C20" s="3" t="s">
        <v>26</v>
      </c>
      <c r="D20" s="3" t="s">
        <v>27</v>
      </c>
      <c r="E20" s="3" t="s">
        <v>28</v>
      </c>
      <c r="F20" s="3" t="s">
        <v>29</v>
      </c>
      <c r="G20" s="3" t="s">
        <v>30</v>
      </c>
      <c r="I20" s="170" t="s">
        <v>31</v>
      </c>
      <c r="J20" s="170"/>
      <c r="K20" s="170"/>
      <c r="L20" s="170"/>
      <c r="M20" s="170"/>
      <c r="N20" s="170"/>
    </row>
    <row r="21" spans="1:17" x14ac:dyDescent="0.5">
      <c r="A21" s="3" t="s">
        <v>32</v>
      </c>
      <c r="B21" s="3">
        <v>5</v>
      </c>
      <c r="C21" s="3">
        <v>13</v>
      </c>
      <c r="D21" s="3">
        <v>9</v>
      </c>
      <c r="E21" s="3">
        <v>3</v>
      </c>
      <c r="F21" s="3">
        <v>2</v>
      </c>
      <c r="G21" s="3">
        <v>1</v>
      </c>
      <c r="I21" s="15"/>
      <c r="J21" s="15"/>
      <c r="K21" s="170" t="s">
        <v>33</v>
      </c>
      <c r="L21" s="170"/>
      <c r="M21" s="170" t="s">
        <v>34</v>
      </c>
      <c r="N21" s="170"/>
    </row>
    <row r="22" spans="1:17" x14ac:dyDescent="0.5">
      <c r="A22" s="3" t="s">
        <v>35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I22" s="15"/>
      <c r="J22" s="15" t="s">
        <v>36</v>
      </c>
      <c r="K22" s="15" t="s">
        <v>37</v>
      </c>
      <c r="L22" s="15" t="s">
        <v>38</v>
      </c>
      <c r="M22" s="15" t="s">
        <v>37</v>
      </c>
      <c r="N22" s="15" t="s">
        <v>38</v>
      </c>
    </row>
    <row r="23" spans="1:17" x14ac:dyDescent="0.5">
      <c r="A23" s="3" t="s">
        <v>39</v>
      </c>
      <c r="B23" s="3">
        <f t="shared" ref="B23:G23" si="0">SUM(B21:B22)</f>
        <v>5</v>
      </c>
      <c r="C23" s="3">
        <f t="shared" si="0"/>
        <v>13</v>
      </c>
      <c r="D23" s="3">
        <f t="shared" si="0"/>
        <v>9</v>
      </c>
      <c r="E23" s="3">
        <f t="shared" si="0"/>
        <v>3</v>
      </c>
      <c r="F23" s="3">
        <f t="shared" si="0"/>
        <v>2</v>
      </c>
      <c r="G23" s="3">
        <f t="shared" si="0"/>
        <v>1</v>
      </c>
      <c r="I23" s="15" t="s">
        <v>40</v>
      </c>
      <c r="J23" s="16">
        <v>27</v>
      </c>
      <c r="K23" s="16">
        <f t="shared" ref="K23:K29" si="1">J23+(J23*0.3)</f>
        <v>35.1</v>
      </c>
      <c r="L23" s="16">
        <f t="shared" ref="L23:L29" si="2">J23-(J23*0.3)</f>
        <v>18.899999999999999</v>
      </c>
      <c r="M23" s="16">
        <f t="shared" ref="M23:M29" si="3">J23-(J23*0.2)</f>
        <v>21.6</v>
      </c>
      <c r="N23" s="16">
        <f t="shared" ref="N23:N29" si="4">J23+(J23*0.2)</f>
        <v>32.4</v>
      </c>
    </row>
    <row r="24" spans="1:17" x14ac:dyDescent="0.5">
      <c r="A24" s="3" t="s">
        <v>41</v>
      </c>
      <c r="B24" s="17">
        <f>B4/(VLOOKUP(B6,Econ_chart,2,0))</f>
        <v>3.8800000000000003</v>
      </c>
      <c r="C24" s="17">
        <f>ROUNDUP(B4/(VLOOKUP(B6,Econ_chart,3,0)),0)</f>
        <v>10</v>
      </c>
      <c r="D24" s="17">
        <v>0</v>
      </c>
      <c r="E24" s="17">
        <f>ROUNDUP(B4/(VLOOKUP(B6,Econ_chart,4,0)),0)</f>
        <v>4</v>
      </c>
      <c r="F24" s="17">
        <v>0</v>
      </c>
      <c r="G24" s="17">
        <v>0</v>
      </c>
      <c r="I24" s="15" t="s">
        <v>26</v>
      </c>
      <c r="J24" s="16">
        <v>10</v>
      </c>
      <c r="K24" s="16">
        <f t="shared" si="1"/>
        <v>13</v>
      </c>
      <c r="L24" s="16">
        <f t="shared" si="2"/>
        <v>7</v>
      </c>
      <c r="M24" s="16">
        <f t="shared" si="3"/>
        <v>8</v>
      </c>
      <c r="N24" s="16">
        <f t="shared" si="4"/>
        <v>12</v>
      </c>
    </row>
    <row r="25" spans="1:17" x14ac:dyDescent="0.5">
      <c r="A25" s="18" t="s">
        <v>42</v>
      </c>
      <c r="B25" s="19">
        <f>-B24</f>
        <v>-3.8800000000000003</v>
      </c>
      <c r="C25" s="19">
        <f>C21-C24</f>
        <v>3</v>
      </c>
      <c r="D25" s="20">
        <f>D23</f>
        <v>9</v>
      </c>
      <c r="E25" s="19">
        <f>E23-E24</f>
        <v>-1</v>
      </c>
      <c r="F25" s="20">
        <f>F23</f>
        <v>2</v>
      </c>
      <c r="G25" s="20">
        <f>G23</f>
        <v>1</v>
      </c>
      <c r="I25" s="15" t="s">
        <v>28</v>
      </c>
      <c r="J25" s="16">
        <v>12</v>
      </c>
      <c r="K25" s="16">
        <f t="shared" si="1"/>
        <v>15.6</v>
      </c>
      <c r="L25" s="16">
        <f t="shared" si="2"/>
        <v>8.4</v>
      </c>
      <c r="M25" s="16">
        <f t="shared" si="3"/>
        <v>9.6</v>
      </c>
      <c r="N25" s="16">
        <f t="shared" si="4"/>
        <v>14.4</v>
      </c>
    </row>
    <row r="26" spans="1:17" x14ac:dyDescent="0.5">
      <c r="A26" s="10"/>
      <c r="B26" s="21"/>
      <c r="C26" s="22"/>
      <c r="D26" s="22"/>
      <c r="E26" s="22"/>
      <c r="F26" s="22"/>
      <c r="G26" s="22"/>
      <c r="I26" s="15" t="s">
        <v>43</v>
      </c>
      <c r="J26" s="16">
        <v>10</v>
      </c>
      <c r="K26" s="16">
        <f t="shared" si="1"/>
        <v>13</v>
      </c>
      <c r="L26" s="16">
        <f t="shared" si="2"/>
        <v>7</v>
      </c>
      <c r="M26" s="16">
        <f t="shared" si="3"/>
        <v>8</v>
      </c>
      <c r="N26" s="16">
        <f t="shared" si="4"/>
        <v>12</v>
      </c>
    </row>
    <row r="27" spans="1:17" x14ac:dyDescent="0.5">
      <c r="A27" s="10"/>
      <c r="B27" s="23"/>
      <c r="C27" s="10"/>
      <c r="D27" s="10"/>
      <c r="E27" s="10"/>
      <c r="F27" s="10"/>
      <c r="G27" s="10"/>
      <c r="I27" s="15" t="s">
        <v>29</v>
      </c>
      <c r="J27" s="16">
        <v>10</v>
      </c>
      <c r="K27" s="16">
        <f t="shared" si="1"/>
        <v>13</v>
      </c>
      <c r="L27" s="16">
        <f t="shared" si="2"/>
        <v>7</v>
      </c>
      <c r="M27" s="16">
        <f t="shared" si="3"/>
        <v>8</v>
      </c>
      <c r="N27" s="16">
        <f t="shared" si="4"/>
        <v>12</v>
      </c>
    </row>
    <row r="28" spans="1:17" x14ac:dyDescent="0.5">
      <c r="A28" s="10"/>
      <c r="B28" s="22"/>
      <c r="C28" s="22"/>
      <c r="D28" s="22"/>
      <c r="E28" s="22"/>
      <c r="F28" s="22"/>
      <c r="G28" s="22"/>
      <c r="I28" s="15" t="s">
        <v>30</v>
      </c>
      <c r="J28" s="16">
        <v>10</v>
      </c>
      <c r="K28" s="16">
        <f t="shared" si="1"/>
        <v>13</v>
      </c>
      <c r="L28" s="16">
        <f t="shared" si="2"/>
        <v>7</v>
      </c>
      <c r="M28" s="16">
        <f t="shared" si="3"/>
        <v>8</v>
      </c>
      <c r="N28" s="16">
        <f t="shared" si="4"/>
        <v>12</v>
      </c>
    </row>
    <row r="29" spans="1:17" x14ac:dyDescent="0.5">
      <c r="A29" s="10"/>
      <c r="B29" s="22"/>
      <c r="C29" s="22"/>
      <c r="D29" s="22"/>
      <c r="E29" s="22"/>
      <c r="F29" s="22"/>
      <c r="G29" s="22"/>
      <c r="I29" s="15" t="s">
        <v>44</v>
      </c>
      <c r="J29" s="16">
        <v>10</v>
      </c>
      <c r="K29" s="16">
        <f t="shared" si="1"/>
        <v>13</v>
      </c>
      <c r="L29" s="16">
        <f t="shared" si="2"/>
        <v>7</v>
      </c>
      <c r="M29" s="16">
        <f t="shared" si="3"/>
        <v>8</v>
      </c>
      <c r="N29" s="16">
        <f t="shared" si="4"/>
        <v>12</v>
      </c>
      <c r="O29" s="169" t="s">
        <v>45</v>
      </c>
      <c r="P29" s="169"/>
      <c r="Q29" s="169"/>
    </row>
    <row r="30" spans="1:17" x14ac:dyDescent="0.5">
      <c r="L30" s="11"/>
      <c r="M30" s="11"/>
      <c r="N30" s="11"/>
    </row>
    <row r="31" spans="1:17" x14ac:dyDescent="0.5">
      <c r="A31" s="3" t="s">
        <v>46</v>
      </c>
      <c r="B31" s="3" t="str">
        <f>Colonias!D6</f>
        <v>Bienes</v>
      </c>
      <c r="C31" s="3" t="str">
        <f>Colonias!E6</f>
        <v>Comida</v>
      </c>
      <c r="D31" s="3" t="str">
        <f>Colonias!F6</f>
        <v>Mat Primas</v>
      </c>
      <c r="E31" s="3" t="str">
        <f>Colonias!G6</f>
        <v>Exóticos</v>
      </c>
      <c r="F31" s="3" t="str">
        <f>Colonias!H6</f>
        <v>Carbón</v>
      </c>
      <c r="G31" s="3" t="str">
        <f>Colonias!I6</f>
        <v>Hierro</v>
      </c>
    </row>
    <row r="32" spans="1:17" x14ac:dyDescent="0.5">
      <c r="A32" s="3" t="s">
        <v>47</v>
      </c>
      <c r="B32" s="3">
        <f>SUM(Colonias!D7)</f>
        <v>0</v>
      </c>
      <c r="C32" s="3">
        <f>SUM(Colonias!E7)</f>
        <v>0</v>
      </c>
      <c r="D32" s="3">
        <f>SUM(Colonias!F7)</f>
        <v>0</v>
      </c>
      <c r="E32" s="3">
        <f>SUM(Colonias!G7)</f>
        <v>0</v>
      </c>
      <c r="F32" s="3">
        <f>SUM(Colonias!H7)</f>
        <v>0</v>
      </c>
      <c r="G32" s="3">
        <f>SUM(Colonias!I7)</f>
        <v>0</v>
      </c>
    </row>
    <row r="33" spans="1:16" x14ac:dyDescent="0.5">
      <c r="A33" s="3" t="s">
        <v>48</v>
      </c>
      <c r="B33" s="3">
        <f>Colonias!K7</f>
        <v>0</v>
      </c>
      <c r="C33" s="3">
        <f>Colonias!L7</f>
        <v>0</v>
      </c>
      <c r="D33" s="3">
        <f>Colonias!M7</f>
        <v>0</v>
      </c>
      <c r="E33" s="3">
        <f>Colonias!N7</f>
        <v>0</v>
      </c>
      <c r="F33" s="3">
        <f>Colonias!O7</f>
        <v>0</v>
      </c>
      <c r="G33" s="3">
        <f>Colonias!P7</f>
        <v>0</v>
      </c>
      <c r="H33" s="9"/>
    </row>
    <row r="34" spans="1:16" x14ac:dyDescent="0.5">
      <c r="A34" s="3" t="s">
        <v>49</v>
      </c>
      <c r="B34" s="24">
        <f t="shared" ref="B34:G34" si="5">B32-J51</f>
        <v>0</v>
      </c>
      <c r="C34" s="24">
        <f t="shared" si="5"/>
        <v>0</v>
      </c>
      <c r="D34" s="24">
        <f t="shared" si="5"/>
        <v>0</v>
      </c>
      <c r="E34" s="24">
        <f t="shared" si="5"/>
        <v>0</v>
      </c>
      <c r="F34" s="24">
        <f t="shared" si="5"/>
        <v>0</v>
      </c>
      <c r="G34" s="24">
        <f t="shared" si="5"/>
        <v>0</v>
      </c>
      <c r="H34" s="9" t="s">
        <v>50</v>
      </c>
    </row>
    <row r="35" spans="1:16" x14ac:dyDescent="0.5">
      <c r="A35" s="3" t="s">
        <v>51</v>
      </c>
      <c r="B35" s="24">
        <f t="shared" ref="B35:G35" si="6">B33-B51</f>
        <v>0</v>
      </c>
      <c r="C35" s="24">
        <f t="shared" si="6"/>
        <v>0</v>
      </c>
      <c r="D35" s="24">
        <f t="shared" si="6"/>
        <v>0</v>
      </c>
      <c r="E35" s="24">
        <f t="shared" si="6"/>
        <v>0</v>
      </c>
      <c r="F35" s="24">
        <f t="shared" si="6"/>
        <v>0</v>
      </c>
      <c r="G35" s="24">
        <f t="shared" si="6"/>
        <v>0</v>
      </c>
      <c r="H35" s="9" t="s">
        <v>52</v>
      </c>
    </row>
    <row r="36" spans="1:16" x14ac:dyDescent="0.5">
      <c r="I36" s="25"/>
    </row>
    <row r="37" spans="1:16" x14ac:dyDescent="0.5">
      <c r="A37" s="166" t="s">
        <v>53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</row>
    <row r="39" spans="1:16" x14ac:dyDescent="0.5">
      <c r="B39" s="167" t="s">
        <v>54</v>
      </c>
      <c r="C39" s="167"/>
      <c r="D39" s="167"/>
      <c r="J39" s="167" t="s">
        <v>55</v>
      </c>
      <c r="K39" s="167"/>
      <c r="L39" s="167"/>
      <c r="M39" s="167"/>
    </row>
    <row r="40" spans="1:16" x14ac:dyDescent="0.5">
      <c r="A40" s="26" t="s">
        <v>3</v>
      </c>
      <c r="B40" s="27" t="s">
        <v>40</v>
      </c>
      <c r="C40" s="27" t="s">
        <v>26</v>
      </c>
      <c r="D40" s="27" t="s">
        <v>27</v>
      </c>
      <c r="E40" s="26" t="s">
        <v>28</v>
      </c>
      <c r="F40" s="26" t="s">
        <v>29</v>
      </c>
      <c r="G40" s="26" t="s">
        <v>30</v>
      </c>
      <c r="H40" s="26" t="s">
        <v>56</v>
      </c>
      <c r="J40" s="27" t="s">
        <v>40</v>
      </c>
      <c r="K40" s="27" t="s">
        <v>26</v>
      </c>
      <c r="L40" s="27" t="s">
        <v>27</v>
      </c>
      <c r="M40" s="27" t="s">
        <v>28</v>
      </c>
      <c r="N40" s="26" t="s">
        <v>29</v>
      </c>
      <c r="O40" s="26" t="s">
        <v>30</v>
      </c>
      <c r="P40" s="26" t="s">
        <v>25</v>
      </c>
    </row>
    <row r="41" spans="1:16" x14ac:dyDescent="0.5">
      <c r="A41" s="28"/>
      <c r="B41" s="29"/>
      <c r="C41" s="29"/>
      <c r="D41" s="29"/>
      <c r="E41" s="29"/>
      <c r="F41" s="29"/>
      <c r="G41" s="29"/>
      <c r="H41" s="29"/>
      <c r="J41" s="29"/>
      <c r="K41" s="29"/>
      <c r="L41" s="29"/>
      <c r="M41" s="29"/>
      <c r="N41" s="29"/>
      <c r="O41" s="29"/>
      <c r="P41" s="29"/>
    </row>
    <row r="42" spans="1:16" x14ac:dyDescent="0.5">
      <c r="A42" s="28"/>
      <c r="B42" s="29"/>
      <c r="C42" s="29"/>
      <c r="D42" s="29"/>
      <c r="E42" s="29"/>
      <c r="F42" s="29"/>
      <c r="G42" s="29"/>
      <c r="H42" s="29"/>
      <c r="J42" s="29"/>
      <c r="K42" s="29"/>
      <c r="L42" s="29"/>
      <c r="M42" s="29"/>
      <c r="N42" s="29"/>
      <c r="O42" s="29"/>
      <c r="P42" s="29"/>
    </row>
    <row r="43" spans="1:16" x14ac:dyDescent="0.5">
      <c r="A43" s="28"/>
      <c r="B43" s="29"/>
      <c r="C43" s="29"/>
      <c r="D43" s="29"/>
      <c r="E43" s="29"/>
      <c r="F43" s="29"/>
      <c r="G43" s="29"/>
      <c r="H43" s="30"/>
      <c r="J43" s="29"/>
      <c r="K43" s="29"/>
      <c r="L43" s="29"/>
      <c r="M43" s="29"/>
      <c r="N43" s="29"/>
      <c r="O43" s="29"/>
      <c r="P43" s="29"/>
    </row>
    <row r="44" spans="1:16" x14ac:dyDescent="0.5">
      <c r="A44" s="28"/>
      <c r="B44" s="29"/>
      <c r="C44" s="29"/>
      <c r="D44" s="29"/>
      <c r="E44" s="29"/>
      <c r="F44" s="29"/>
      <c r="G44" s="29"/>
      <c r="H44" s="30"/>
      <c r="J44" s="29"/>
      <c r="K44" s="29"/>
      <c r="L44" s="29"/>
      <c r="M44" s="29"/>
      <c r="N44" s="29"/>
      <c r="O44" s="29"/>
      <c r="P44" s="29"/>
    </row>
    <row r="45" spans="1:16" x14ac:dyDescent="0.5">
      <c r="A45" s="28"/>
      <c r="B45" s="29"/>
      <c r="C45" s="29"/>
      <c r="D45" s="29"/>
      <c r="E45" s="29"/>
      <c r="F45" s="29"/>
      <c r="G45" s="29"/>
      <c r="H45" s="30"/>
      <c r="J45" s="29"/>
      <c r="K45" s="29"/>
      <c r="L45" s="29"/>
      <c r="M45" s="29"/>
      <c r="N45" s="29"/>
      <c r="O45" s="29"/>
      <c r="P45" s="29"/>
    </row>
    <row r="46" spans="1:16" x14ac:dyDescent="0.5">
      <c r="A46" s="28"/>
      <c r="B46" s="29"/>
      <c r="C46" s="29"/>
      <c r="D46" s="29"/>
      <c r="E46" s="29"/>
      <c r="F46" s="29"/>
      <c r="G46" s="29"/>
      <c r="H46" s="29"/>
      <c r="J46" s="29"/>
      <c r="K46" s="29"/>
      <c r="L46" s="29"/>
      <c r="M46" s="29"/>
      <c r="N46" s="29"/>
      <c r="O46" s="29"/>
      <c r="P46" s="29"/>
    </row>
    <row r="47" spans="1:16" x14ac:dyDescent="0.5">
      <c r="A47" s="28"/>
      <c r="B47" s="29"/>
      <c r="C47" s="29"/>
      <c r="D47" s="29"/>
      <c r="E47" s="29"/>
      <c r="F47" s="29"/>
      <c r="G47" s="29"/>
      <c r="H47" s="30"/>
      <c r="J47" s="29"/>
      <c r="K47" s="29"/>
      <c r="L47" s="29"/>
      <c r="M47" s="29"/>
      <c r="N47" s="29"/>
      <c r="O47" s="29"/>
      <c r="P47" s="29"/>
    </row>
    <row r="48" spans="1:16" x14ac:dyDescent="0.5">
      <c r="A48" s="28"/>
      <c r="B48" s="29"/>
      <c r="C48" s="29"/>
      <c r="D48" s="29"/>
      <c r="E48" s="29"/>
      <c r="F48" s="29"/>
      <c r="G48" s="29"/>
      <c r="H48" s="30"/>
      <c r="J48" s="29"/>
      <c r="K48" s="29"/>
      <c r="L48" s="29"/>
      <c r="M48" s="29"/>
      <c r="N48" s="29"/>
      <c r="O48" s="29"/>
      <c r="P48" s="29"/>
    </row>
    <row r="49" spans="1:17" x14ac:dyDescent="0.5">
      <c r="A49" s="28"/>
      <c r="B49" s="29"/>
      <c r="C49" s="29"/>
      <c r="D49" s="29"/>
      <c r="E49" s="29"/>
      <c r="F49" s="29"/>
      <c r="G49" s="29"/>
      <c r="H49" s="29"/>
      <c r="J49" s="29"/>
      <c r="K49" s="29"/>
      <c r="L49" s="29"/>
      <c r="M49" s="29"/>
      <c r="N49" s="29"/>
      <c r="O49" s="29"/>
      <c r="P49" s="29"/>
    </row>
    <row r="50" spans="1:17" x14ac:dyDescent="0.5">
      <c r="A50" s="28"/>
      <c r="B50" s="29"/>
      <c r="C50" s="29"/>
      <c r="D50" s="29"/>
      <c r="E50" s="29"/>
      <c r="F50" s="29"/>
      <c r="G50" s="29"/>
      <c r="H50" s="30"/>
      <c r="J50" s="29"/>
      <c r="K50" s="29"/>
      <c r="L50" s="29"/>
      <c r="M50" s="29"/>
      <c r="N50" s="29"/>
      <c r="O50" s="29"/>
      <c r="P50" s="29"/>
    </row>
    <row r="51" spans="1:17" x14ac:dyDescent="0.5">
      <c r="A51" s="26" t="s">
        <v>58</v>
      </c>
      <c r="B51" s="29"/>
      <c r="C51" s="29"/>
      <c r="D51" s="29"/>
      <c r="E51" s="29"/>
      <c r="F51" s="29"/>
      <c r="G51" s="29"/>
      <c r="H51" s="24">
        <f>-((J51*M23)+(K51*M24)+(L51*M26)+(M51*M25)+(N51*M27)+(O51*M28))</f>
        <v>0</v>
      </c>
      <c r="J51" s="29"/>
      <c r="K51" s="29"/>
      <c r="L51" s="29"/>
      <c r="M51" s="29"/>
      <c r="N51" s="29"/>
      <c r="O51" s="29"/>
      <c r="P51" s="24">
        <f>(B51*N23)+(C51*N24)+(D51*N26)+(E51*N25)+(F51*N27)+(G51*N28)</f>
        <v>0</v>
      </c>
    </row>
    <row r="52" spans="1:17" x14ac:dyDescent="0.5">
      <c r="A52" s="31" t="s">
        <v>33</v>
      </c>
      <c r="B52" s="29"/>
      <c r="C52" s="29"/>
      <c r="D52" s="29"/>
      <c r="E52" s="29"/>
      <c r="F52" s="29"/>
      <c r="G52" s="29"/>
      <c r="H52" s="24">
        <f>-((J52*K23)+(K52*K24)+(L52*K26)+(M52*K25)+(N52*K27)+(O52*K28))</f>
        <v>0</v>
      </c>
      <c r="J52" s="29"/>
      <c r="K52" s="29"/>
      <c r="L52" s="29"/>
      <c r="M52" s="29"/>
      <c r="N52" s="29"/>
      <c r="O52" s="29"/>
      <c r="P52" s="24">
        <f>-((B52*L23)+(C52*L24)+(D52*L26)+(E52*L25)+(F52*L27)+(G52*L28))</f>
        <v>0</v>
      </c>
    </row>
    <row r="53" spans="1:17" x14ac:dyDescent="0.5">
      <c r="A53" s="3" t="s">
        <v>17</v>
      </c>
      <c r="B53" s="24">
        <f t="shared" ref="B53:G53" si="7">SUM(B41:B52)</f>
        <v>0</v>
      </c>
      <c r="C53" s="24">
        <f t="shared" si="7"/>
        <v>0</v>
      </c>
      <c r="D53" s="24">
        <f t="shared" si="7"/>
        <v>0</v>
      </c>
      <c r="E53" s="24">
        <f t="shared" si="7"/>
        <v>0</v>
      </c>
      <c r="F53" s="24">
        <f t="shared" si="7"/>
        <v>0</v>
      </c>
      <c r="G53" s="24">
        <f t="shared" si="7"/>
        <v>0</v>
      </c>
      <c r="H53" s="32">
        <f>SUM(H51:H52)-SUM(H41:H50)</f>
        <v>0</v>
      </c>
      <c r="I53" s="3" t="s">
        <v>17</v>
      </c>
      <c r="J53" s="24">
        <f t="shared" ref="J53:O53" si="8">SUM(J41:J52)</f>
        <v>0</v>
      </c>
      <c r="K53" s="24">
        <f t="shared" si="8"/>
        <v>0</v>
      </c>
      <c r="L53" s="24">
        <f t="shared" si="8"/>
        <v>0</v>
      </c>
      <c r="M53" s="24">
        <f t="shared" si="8"/>
        <v>0</v>
      </c>
      <c r="N53" s="24">
        <f t="shared" si="8"/>
        <v>0</v>
      </c>
      <c r="O53" s="24">
        <f t="shared" si="8"/>
        <v>0</v>
      </c>
      <c r="P53" s="32">
        <f>SUM(P41:P51)-P52</f>
        <v>0</v>
      </c>
      <c r="Q53" s="33"/>
    </row>
    <row r="54" spans="1:17" x14ac:dyDescent="0.5">
      <c r="B54" s="10"/>
      <c r="C54" s="10"/>
      <c r="D54" s="10"/>
      <c r="E54" s="10"/>
      <c r="F54" s="10"/>
      <c r="G54" s="10"/>
      <c r="H54" s="11"/>
      <c r="I54" s="34"/>
      <c r="J54" s="10"/>
      <c r="K54" s="10"/>
      <c r="L54" s="10"/>
      <c r="M54" s="10"/>
      <c r="N54" s="10"/>
      <c r="O54" s="10"/>
      <c r="P54" s="11"/>
    </row>
    <row r="55" spans="1:17" x14ac:dyDescent="0.5">
      <c r="B55" s="3">
        <f>Colonias!D49</f>
        <v>0</v>
      </c>
      <c r="C55" s="3">
        <f>Colonias!E49</f>
        <v>0</v>
      </c>
      <c r="D55" s="3">
        <f>Colonias!F49</f>
        <v>0</v>
      </c>
      <c r="E55" s="3">
        <f>Colonias!G49</f>
        <v>0</v>
      </c>
      <c r="F55" s="3">
        <f>Colonias!H49</f>
        <v>0</v>
      </c>
      <c r="G55" s="3">
        <f>Colonias!I49</f>
        <v>0</v>
      </c>
      <c r="H55" s="3" t="s">
        <v>59</v>
      </c>
    </row>
    <row r="56" spans="1:17" x14ac:dyDescent="0.5">
      <c r="A56" s="1" t="s">
        <v>60</v>
      </c>
      <c r="B56" s="17">
        <f t="shared" ref="B56:G56" si="9">B25-B53+J53</f>
        <v>-3.8800000000000003</v>
      </c>
      <c r="C56" s="17">
        <f t="shared" si="9"/>
        <v>3</v>
      </c>
      <c r="D56" s="17">
        <f t="shared" si="9"/>
        <v>9</v>
      </c>
      <c r="E56" s="17">
        <f t="shared" si="9"/>
        <v>-1</v>
      </c>
      <c r="F56" s="17">
        <f t="shared" si="9"/>
        <v>2</v>
      </c>
      <c r="G56" s="17">
        <f t="shared" si="9"/>
        <v>1</v>
      </c>
      <c r="H56" s="35">
        <f>B15+H53+P53</f>
        <v>122.36000000000001</v>
      </c>
      <c r="J56" s="8"/>
    </row>
    <row r="57" spans="1:17" x14ac:dyDescent="0.5">
      <c r="A57" s="10"/>
      <c r="B57" s="22"/>
      <c r="C57" s="22"/>
      <c r="D57" s="22"/>
      <c r="E57" s="22"/>
      <c r="F57" s="22"/>
      <c r="G57" s="22"/>
      <c r="H57" s="12"/>
      <c r="I57" s="10"/>
    </row>
    <row r="58" spans="1:17" x14ac:dyDescent="0.5">
      <c r="A58" s="1" t="s">
        <v>1</v>
      </c>
    </row>
    <row r="59" spans="1:17" x14ac:dyDescent="0.5">
      <c r="A59" s="1" t="s">
        <v>61</v>
      </c>
      <c r="B59" s="1" t="s">
        <v>62</v>
      </c>
      <c r="C59" s="1" t="s">
        <v>26</v>
      </c>
      <c r="D59" s="1" t="s">
        <v>27</v>
      </c>
      <c r="E59" s="1" t="s">
        <v>28</v>
      </c>
      <c r="F59" s="1" t="s">
        <v>29</v>
      </c>
      <c r="G59" s="1" t="s">
        <v>30</v>
      </c>
      <c r="H59" s="1" t="s">
        <v>56</v>
      </c>
      <c r="I59" s="1" t="s">
        <v>25</v>
      </c>
    </row>
    <row r="60" spans="1:17" x14ac:dyDescent="0.5">
      <c r="A60" s="1" t="s">
        <v>63</v>
      </c>
      <c r="B60" s="29"/>
      <c r="C60" s="36" t="s">
        <v>1</v>
      </c>
      <c r="D60" s="24">
        <f>B60</f>
        <v>0</v>
      </c>
      <c r="E60" s="36"/>
      <c r="F60" s="36"/>
      <c r="G60" s="36"/>
      <c r="H60" s="36"/>
      <c r="I60" s="3">
        <f>B60</f>
        <v>0</v>
      </c>
    </row>
    <row r="61" spans="1:17" x14ac:dyDescent="0.5">
      <c r="A61" s="1" t="s">
        <v>64</v>
      </c>
      <c r="B61" s="29"/>
      <c r="C61" s="36" t="s">
        <v>1</v>
      </c>
      <c r="D61" s="36"/>
      <c r="E61" s="36"/>
      <c r="F61" s="3">
        <f>B61</f>
        <v>0</v>
      </c>
      <c r="G61" s="3">
        <f>B61</f>
        <v>0</v>
      </c>
      <c r="H61" s="36"/>
      <c r="I61" s="3">
        <f>B61*2</f>
        <v>0</v>
      </c>
    </row>
    <row r="62" spans="1:17" x14ac:dyDescent="0.5">
      <c r="A62" s="1" t="s">
        <v>65</v>
      </c>
      <c r="B62" s="29"/>
      <c r="C62" s="36"/>
      <c r="D62" s="36"/>
      <c r="E62" s="36"/>
      <c r="F62" s="3">
        <f>B62</f>
        <v>0</v>
      </c>
      <c r="G62" s="3">
        <f>B62</f>
        <v>0</v>
      </c>
      <c r="H62" s="36"/>
      <c r="I62" s="3">
        <f>B62</f>
        <v>0</v>
      </c>
    </row>
    <row r="63" spans="1:17" x14ac:dyDescent="0.5">
      <c r="A63" s="1" t="s">
        <v>66</v>
      </c>
      <c r="B63" s="36"/>
      <c r="C63" s="36"/>
      <c r="D63" s="36"/>
      <c r="E63" s="29"/>
      <c r="F63" s="36"/>
      <c r="G63" s="36"/>
      <c r="H63" s="37">
        <f>E63*6</f>
        <v>0</v>
      </c>
      <c r="I63" s="3">
        <f>E63</f>
        <v>0</v>
      </c>
    </row>
    <row r="64" spans="1:17" x14ac:dyDescent="0.5">
      <c r="A64" s="1" t="s">
        <v>67</v>
      </c>
      <c r="B64" s="17">
        <f>B56+B60+(B61*2)</f>
        <v>-3.8800000000000003</v>
      </c>
      <c r="C64" s="17">
        <f>C56</f>
        <v>3</v>
      </c>
      <c r="D64" s="17">
        <f>D56-D60</f>
        <v>9</v>
      </c>
      <c r="E64" s="17">
        <f>E63+E56</f>
        <v>-1</v>
      </c>
      <c r="F64" s="17">
        <f>F56-F61-F62</f>
        <v>2</v>
      </c>
      <c r="G64" s="17">
        <f>G56-G61-G62</f>
        <v>1</v>
      </c>
      <c r="H64" s="35">
        <f>H56-H63</f>
        <v>122.36000000000001</v>
      </c>
      <c r="I64" s="3">
        <f>B23-I60-I61-I62-I63</f>
        <v>5</v>
      </c>
    </row>
    <row r="66" spans="1:16" x14ac:dyDescent="0.5">
      <c r="A66" s="166" t="s">
        <v>68</v>
      </c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</row>
    <row r="68" spans="1:16" x14ac:dyDescent="0.5">
      <c r="A68" s="38" t="s">
        <v>69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6" ht="18" customHeight="1" x14ac:dyDescent="0.5">
      <c r="A69" s="3" t="s">
        <v>1</v>
      </c>
      <c r="B69" s="3"/>
      <c r="C69" s="3" t="s">
        <v>70</v>
      </c>
      <c r="D69" s="3"/>
      <c r="E69" s="171" t="s">
        <v>71</v>
      </c>
      <c r="F69" s="171" t="s">
        <v>72</v>
      </c>
      <c r="G69" s="172" t="s">
        <v>73</v>
      </c>
      <c r="H69" s="172" t="s">
        <v>74</v>
      </c>
    </row>
    <row r="70" spans="1:16" x14ac:dyDescent="0.5">
      <c r="A70" s="3" t="s">
        <v>75</v>
      </c>
      <c r="B70" s="3" t="s">
        <v>73</v>
      </c>
      <c r="C70" s="3" t="s">
        <v>76</v>
      </c>
      <c r="D70" s="3" t="s">
        <v>77</v>
      </c>
      <c r="E70" s="171"/>
      <c r="F70" s="171"/>
      <c r="G70" s="172"/>
      <c r="H70" s="172"/>
    </row>
    <row r="71" spans="1:16" x14ac:dyDescent="0.5">
      <c r="A71" s="3" t="s">
        <v>25</v>
      </c>
      <c r="B71" s="6">
        <v>75</v>
      </c>
      <c r="C71" s="13">
        <v>0.66</v>
      </c>
      <c r="D71" s="40" t="s">
        <v>79</v>
      </c>
      <c r="E71" s="13">
        <f t="shared" ref="E71:E87" si="10">IF(H71="Si",0.4,0.33)</f>
        <v>0.33</v>
      </c>
      <c r="F71" s="13" t="str">
        <f t="shared" ref="F71:F87" si="11">IF(D71="Si",(IF((C71+E71)&gt;1,1,(C71+E71)))," ")</f>
        <v xml:space="preserve"> </v>
      </c>
      <c r="G71" s="6" t="str">
        <f t="shared" ref="G71:G87" si="12">IF(D71="Continue",5,(IF(D71="Si",(IF((C71+E71)&gt;1,5,B71))," ")))</f>
        <v xml:space="preserve"> </v>
      </c>
      <c r="H71" s="3" t="s">
        <v>79</v>
      </c>
      <c r="I71" s="41"/>
    </row>
    <row r="72" spans="1:16" x14ac:dyDescent="0.5">
      <c r="A72" s="3" t="s">
        <v>25</v>
      </c>
      <c r="B72" s="6">
        <v>80</v>
      </c>
      <c r="C72" s="13">
        <v>0</v>
      </c>
      <c r="D72" s="40" t="s">
        <v>79</v>
      </c>
      <c r="E72" s="13">
        <f t="shared" si="10"/>
        <v>0.33</v>
      </c>
      <c r="F72" s="13" t="str">
        <f t="shared" si="11"/>
        <v xml:space="preserve"> </v>
      </c>
      <c r="G72" s="6" t="str">
        <f t="shared" si="12"/>
        <v xml:space="preserve"> </v>
      </c>
      <c r="H72" s="3" t="s">
        <v>79</v>
      </c>
      <c r="I72" s="41"/>
    </row>
    <row r="73" spans="1:16" x14ac:dyDescent="0.5">
      <c r="A73" s="3" t="s">
        <v>26</v>
      </c>
      <c r="B73" s="6">
        <v>55</v>
      </c>
      <c r="C73" s="13">
        <v>0</v>
      </c>
      <c r="D73" s="40" t="s">
        <v>79</v>
      </c>
      <c r="E73" s="13">
        <f t="shared" si="10"/>
        <v>0.33</v>
      </c>
      <c r="F73" s="13" t="str">
        <f t="shared" si="11"/>
        <v xml:space="preserve"> </v>
      </c>
      <c r="G73" s="6" t="str">
        <f t="shared" si="12"/>
        <v xml:space="preserve"> </v>
      </c>
      <c r="H73" s="3" t="s">
        <v>79</v>
      </c>
      <c r="I73" s="41"/>
    </row>
    <row r="74" spans="1:16" x14ac:dyDescent="0.5">
      <c r="A74" s="3" t="s">
        <v>26</v>
      </c>
      <c r="B74" s="6">
        <v>50</v>
      </c>
      <c r="C74" s="13">
        <v>0</v>
      </c>
      <c r="D74" s="40" t="s">
        <v>79</v>
      </c>
      <c r="E74" s="13">
        <f t="shared" si="10"/>
        <v>0.33</v>
      </c>
      <c r="F74" s="13" t="str">
        <f t="shared" si="11"/>
        <v xml:space="preserve"> </v>
      </c>
      <c r="G74" s="6" t="str">
        <f t="shared" si="12"/>
        <v xml:space="preserve"> </v>
      </c>
      <c r="H74" s="3" t="s">
        <v>79</v>
      </c>
      <c r="I74" s="41"/>
    </row>
    <row r="75" spans="1:16" x14ac:dyDescent="0.5">
      <c r="A75" s="3" t="s">
        <v>29</v>
      </c>
      <c r="B75" s="6">
        <v>50</v>
      </c>
      <c r="C75" s="13">
        <v>0</v>
      </c>
      <c r="D75" s="40" t="s">
        <v>79</v>
      </c>
      <c r="E75" s="13">
        <f t="shared" si="10"/>
        <v>0.33</v>
      </c>
      <c r="F75" s="13" t="str">
        <f t="shared" si="11"/>
        <v xml:space="preserve"> </v>
      </c>
      <c r="G75" s="6" t="str">
        <f t="shared" si="12"/>
        <v xml:space="preserve"> </v>
      </c>
      <c r="H75" s="3" t="s">
        <v>79</v>
      </c>
      <c r="I75" s="41"/>
    </row>
    <row r="76" spans="1:16" x14ac:dyDescent="0.5">
      <c r="A76" s="3" t="s">
        <v>29</v>
      </c>
      <c r="B76" s="6">
        <v>50</v>
      </c>
      <c r="C76" s="13">
        <v>0</v>
      </c>
      <c r="D76" s="40" t="s">
        <v>79</v>
      </c>
      <c r="E76" s="13">
        <f t="shared" si="10"/>
        <v>0.33</v>
      </c>
      <c r="F76" s="13" t="str">
        <f t="shared" si="11"/>
        <v xml:space="preserve"> </v>
      </c>
      <c r="G76" s="6" t="str">
        <f t="shared" si="12"/>
        <v xml:space="preserve"> </v>
      </c>
      <c r="H76" s="3" t="s">
        <v>79</v>
      </c>
      <c r="I76" s="41"/>
    </row>
    <row r="77" spans="1:16" x14ac:dyDescent="0.5">
      <c r="A77" s="3" t="s">
        <v>30</v>
      </c>
      <c r="B77" s="6">
        <v>65</v>
      </c>
      <c r="C77" s="13">
        <v>0</v>
      </c>
      <c r="D77" s="40" t="s">
        <v>79</v>
      </c>
      <c r="E77" s="13">
        <f t="shared" si="10"/>
        <v>0.33</v>
      </c>
      <c r="F77" s="13" t="str">
        <f t="shared" si="11"/>
        <v xml:space="preserve"> </v>
      </c>
      <c r="G77" s="6" t="str">
        <f t="shared" si="12"/>
        <v xml:space="preserve"> </v>
      </c>
      <c r="H77" s="3" t="s">
        <v>79</v>
      </c>
      <c r="I77" s="41"/>
    </row>
    <row r="78" spans="1:16" x14ac:dyDescent="0.5">
      <c r="A78" s="3" t="s">
        <v>80</v>
      </c>
      <c r="B78" s="6">
        <v>60</v>
      </c>
      <c r="C78" s="13">
        <v>0</v>
      </c>
      <c r="D78" s="40" t="s">
        <v>79</v>
      </c>
      <c r="E78" s="13">
        <f t="shared" si="10"/>
        <v>0.33</v>
      </c>
      <c r="F78" s="13" t="str">
        <f t="shared" si="11"/>
        <v xml:space="preserve"> </v>
      </c>
      <c r="G78" s="6" t="str">
        <f t="shared" si="12"/>
        <v xml:space="preserve"> </v>
      </c>
      <c r="H78" s="3" t="s">
        <v>79</v>
      </c>
      <c r="I78" s="41"/>
    </row>
    <row r="79" spans="1:16" x14ac:dyDescent="0.5">
      <c r="A79" s="3" t="s">
        <v>81</v>
      </c>
      <c r="B79" s="6">
        <v>70</v>
      </c>
      <c r="C79" s="13">
        <v>0</v>
      </c>
      <c r="D79" s="40" t="s">
        <v>79</v>
      </c>
      <c r="E79" s="13">
        <f t="shared" si="10"/>
        <v>0.33</v>
      </c>
      <c r="F79" s="13" t="str">
        <f t="shared" si="11"/>
        <v xml:space="preserve"> </v>
      </c>
      <c r="G79" s="6" t="str">
        <f t="shared" si="12"/>
        <v xml:space="preserve"> </v>
      </c>
      <c r="H79" s="3" t="s">
        <v>79</v>
      </c>
      <c r="I79" s="41"/>
    </row>
    <row r="80" spans="1:16" x14ac:dyDescent="0.5">
      <c r="A80" s="3" t="s">
        <v>82</v>
      </c>
      <c r="B80" s="6">
        <v>50</v>
      </c>
      <c r="C80" s="13">
        <v>0</v>
      </c>
      <c r="D80" s="40" t="s">
        <v>79</v>
      </c>
      <c r="E80" s="13">
        <f t="shared" si="10"/>
        <v>0.33</v>
      </c>
      <c r="F80" s="13" t="str">
        <f t="shared" si="11"/>
        <v xml:space="preserve"> </v>
      </c>
      <c r="G80" s="6" t="str">
        <f t="shared" si="12"/>
        <v xml:space="preserve"> </v>
      </c>
      <c r="H80" s="3" t="s">
        <v>79</v>
      </c>
      <c r="I80" s="4"/>
    </row>
    <row r="81" spans="1:9" x14ac:dyDescent="0.5">
      <c r="A81" s="3" t="s">
        <v>82</v>
      </c>
      <c r="B81" s="6">
        <v>50</v>
      </c>
      <c r="C81" s="13">
        <v>0</v>
      </c>
      <c r="D81" s="40" t="s">
        <v>79</v>
      </c>
      <c r="E81" s="13">
        <f t="shared" si="10"/>
        <v>0.33</v>
      </c>
      <c r="F81" s="13" t="str">
        <f t="shared" si="11"/>
        <v xml:space="preserve"> </v>
      </c>
      <c r="G81" s="6" t="str">
        <f t="shared" si="12"/>
        <v xml:space="preserve"> </v>
      </c>
      <c r="H81" s="3" t="s">
        <v>79</v>
      </c>
      <c r="I81" s="41"/>
    </row>
    <row r="82" spans="1:9" x14ac:dyDescent="0.5">
      <c r="A82" s="3" t="s">
        <v>82</v>
      </c>
      <c r="B82" s="6">
        <v>50</v>
      </c>
      <c r="C82" s="13">
        <v>0</v>
      </c>
      <c r="D82" s="40" t="s">
        <v>79</v>
      </c>
      <c r="E82" s="13">
        <f t="shared" si="10"/>
        <v>0.33</v>
      </c>
      <c r="F82" s="13" t="str">
        <f t="shared" si="11"/>
        <v xml:space="preserve"> </v>
      </c>
      <c r="G82" s="6" t="str">
        <f t="shared" si="12"/>
        <v xml:space="preserve"> </v>
      </c>
      <c r="H82" s="3" t="s">
        <v>79</v>
      </c>
      <c r="I82" s="4"/>
    </row>
    <row r="83" spans="1:9" x14ac:dyDescent="0.5">
      <c r="A83" s="28"/>
      <c r="B83" s="6" t="str">
        <f>IF(A83="","",VLOOKUP(A83,Colonias!$B$35:$E$39,4,0))</f>
        <v/>
      </c>
      <c r="C83" s="13">
        <f>IF(A83="",0,VLOOKUP(A83,Colonias!$B$35:$F$39,5,0))</f>
        <v>0</v>
      </c>
      <c r="D83" s="40" t="s">
        <v>79</v>
      </c>
      <c r="E83" s="13">
        <f t="shared" si="10"/>
        <v>0.33</v>
      </c>
      <c r="F83" s="13" t="str">
        <f t="shared" si="11"/>
        <v xml:space="preserve"> </v>
      </c>
      <c r="G83" s="6" t="str">
        <f t="shared" si="12"/>
        <v xml:space="preserve"> </v>
      </c>
      <c r="H83" s="42" t="str">
        <f>IF(A83="","No",VLOOKUP(A83,Colonias!$B$35:$G$39,6,0))</f>
        <v>No</v>
      </c>
      <c r="I83" s="4"/>
    </row>
    <row r="84" spans="1:9" x14ac:dyDescent="0.5">
      <c r="A84" s="28"/>
      <c r="B84" s="6" t="str">
        <f>IF(A84="","",VLOOKUP(A84,Colonias!$B$35:$E$39,4,0))</f>
        <v/>
      </c>
      <c r="C84" s="13">
        <f>IF(A84="",0,VLOOKUP(A84,Colonias!$B$35:$F$39,5,0))</f>
        <v>0</v>
      </c>
      <c r="D84" s="40" t="s">
        <v>79</v>
      </c>
      <c r="E84" s="13">
        <f t="shared" si="10"/>
        <v>0.33</v>
      </c>
      <c r="F84" s="13" t="str">
        <f t="shared" si="11"/>
        <v xml:space="preserve"> </v>
      </c>
      <c r="G84" s="6" t="str">
        <f t="shared" si="12"/>
        <v xml:space="preserve"> </v>
      </c>
      <c r="H84" s="42" t="str">
        <f>IF(A84="","No",VLOOKUP(A84,Colonias!$B$35:$G$39,6,0))</f>
        <v>No</v>
      </c>
      <c r="I84" s="4"/>
    </row>
    <row r="85" spans="1:9" x14ac:dyDescent="0.5">
      <c r="A85" s="28"/>
      <c r="B85" s="6" t="str">
        <f>IF(A85="","",VLOOKUP(A85,Colonias!$B$35:$E$39,4,0))</f>
        <v/>
      </c>
      <c r="C85" s="13">
        <f>IF(A85="",0,VLOOKUP(A85,Colonias!$B$35:$F$39,5,0))</f>
        <v>0</v>
      </c>
      <c r="D85" s="40" t="s">
        <v>79</v>
      </c>
      <c r="E85" s="13">
        <f t="shared" si="10"/>
        <v>0.33</v>
      </c>
      <c r="F85" s="13" t="str">
        <f t="shared" si="11"/>
        <v xml:space="preserve"> </v>
      </c>
      <c r="G85" s="6" t="str">
        <f t="shared" si="12"/>
        <v xml:space="preserve"> </v>
      </c>
      <c r="H85" s="42" t="str">
        <f>IF(A85="","No",VLOOKUP(A85,Colonias!$B$35:$G$39,6,0))</f>
        <v>No</v>
      </c>
      <c r="I85" s="4"/>
    </row>
    <row r="86" spans="1:9" x14ac:dyDescent="0.5">
      <c r="A86" s="28"/>
      <c r="B86" s="6" t="str">
        <f>IF(A86="","",VLOOKUP(A86,Colonias!$B$35:$E$39,4,0))</f>
        <v/>
      </c>
      <c r="C86" s="13">
        <f>IF(A86="",0,VLOOKUP(A86,Colonias!$B$35:$F$39,5,0))</f>
        <v>0</v>
      </c>
      <c r="D86" s="40" t="s">
        <v>79</v>
      </c>
      <c r="E86" s="13">
        <f t="shared" si="10"/>
        <v>0.33</v>
      </c>
      <c r="F86" s="13" t="str">
        <f t="shared" si="11"/>
        <v xml:space="preserve"> </v>
      </c>
      <c r="G86" s="6" t="str">
        <f t="shared" si="12"/>
        <v xml:space="preserve"> </v>
      </c>
      <c r="H86" s="42" t="str">
        <f>IF(A86="","No",VLOOKUP(A86,Colonias!$B$35:$G$39,6,0))</f>
        <v>No</v>
      </c>
      <c r="I86" s="4"/>
    </row>
    <row r="87" spans="1:9" x14ac:dyDescent="0.5">
      <c r="A87" s="28"/>
      <c r="B87" s="6" t="str">
        <f>IF(A87="","",VLOOKUP(A87,Colonias!$B$35:$E$39,4,0))</f>
        <v/>
      </c>
      <c r="C87" s="13">
        <f>IF(A87="",0,VLOOKUP(A87,Colonias!$B$35:$F$39,5,0))</f>
        <v>0</v>
      </c>
      <c r="D87" s="40" t="s">
        <v>79</v>
      </c>
      <c r="E87" s="13">
        <f t="shared" si="10"/>
        <v>0.33</v>
      </c>
      <c r="F87" s="13" t="str">
        <f t="shared" si="11"/>
        <v xml:space="preserve"> </v>
      </c>
      <c r="G87" s="6" t="str">
        <f t="shared" si="12"/>
        <v xml:space="preserve"> </v>
      </c>
      <c r="H87" s="42" t="str">
        <f>IF(A87="","No",VLOOKUP(A87,Colonias!$B$35:$G$39,6,0))</f>
        <v>No</v>
      </c>
      <c r="I87" s="4"/>
    </row>
    <row r="88" spans="1:9" x14ac:dyDescent="0.5">
      <c r="B88" s="8"/>
      <c r="F88" s="43" t="s">
        <v>17</v>
      </c>
      <c r="G88" s="44">
        <f>SUM(G71:G87)</f>
        <v>0</v>
      </c>
    </row>
    <row r="89" spans="1:9" x14ac:dyDescent="0.5">
      <c r="A89" s="45" t="s">
        <v>83</v>
      </c>
      <c r="B89" s="8"/>
      <c r="F89" s="10"/>
      <c r="G89" s="11"/>
    </row>
    <row r="90" spans="1:9" x14ac:dyDescent="0.5">
      <c r="A90" s="3" t="s">
        <v>84</v>
      </c>
      <c r="B90" s="3" t="s">
        <v>73</v>
      </c>
      <c r="C90" s="3" t="s">
        <v>85</v>
      </c>
      <c r="D90" s="3" t="s">
        <v>77</v>
      </c>
      <c r="E90" s="3" t="s">
        <v>86</v>
      </c>
      <c r="F90" s="3" t="s">
        <v>73</v>
      </c>
      <c r="G90" s="11"/>
    </row>
    <row r="91" spans="1:9" x14ac:dyDescent="0.5">
      <c r="A91" s="28"/>
      <c r="B91" s="6" t="str">
        <f>IF(A91="","",VLOOKUP(A91,Ferrocarriles!$G$5:$I$10,2,0))</f>
        <v/>
      </c>
      <c r="C91" s="3" t="str">
        <f>IF(A91="","",VLOOKUP(A91,Ferrocarriles!$G$5:$I$10,3,0))</f>
        <v/>
      </c>
      <c r="D91" s="46" t="s">
        <v>79</v>
      </c>
      <c r="E91" s="3">
        <f>IF(D91="Si",1,0)</f>
        <v>0</v>
      </c>
      <c r="F91" s="6">
        <f>IF(D91="Si",B91,0)</f>
        <v>0</v>
      </c>
      <c r="G91" s="47"/>
      <c r="H91" s="48"/>
    </row>
    <row r="92" spans="1:9" x14ac:dyDescent="0.5">
      <c r="A92" s="28"/>
      <c r="B92" s="6" t="str">
        <f>IF(A92="","",VLOOKUP(A92,Ferrocarriles!$G$5:$I$10,2,0))</f>
        <v/>
      </c>
      <c r="C92" s="3" t="str">
        <f>IF(A92="","",VLOOKUP(A92,Ferrocarriles!$G$5:$I$10,3,0))</f>
        <v/>
      </c>
      <c r="D92" s="46" t="s">
        <v>79</v>
      </c>
      <c r="E92" s="3">
        <f>IF(D92="Si",1,0)</f>
        <v>0</v>
      </c>
      <c r="F92" s="6">
        <f>IF(D92="Si",B92,0)</f>
        <v>0</v>
      </c>
      <c r="G92" s="47"/>
      <c r="H92" s="48"/>
    </row>
    <row r="93" spans="1:9" x14ac:dyDescent="0.5">
      <c r="A93" s="28"/>
      <c r="B93" s="6" t="str">
        <f>IF(A93="","",VLOOKUP(A93,Ferrocarriles!$G$5:$I$10,2,0))</f>
        <v/>
      </c>
      <c r="C93" s="3" t="str">
        <f>IF(A93="","",VLOOKUP(A93,Ferrocarriles!$G$5:$I$10,3,0))</f>
        <v/>
      </c>
      <c r="D93" s="46" t="s">
        <v>79</v>
      </c>
      <c r="E93" s="3">
        <f>IF(D93="Si",1,0)</f>
        <v>0</v>
      </c>
      <c r="F93" s="6">
        <f>IF(D93="Si",B93,0)</f>
        <v>0</v>
      </c>
      <c r="G93" s="47"/>
      <c r="H93" s="48"/>
    </row>
    <row r="94" spans="1:9" x14ac:dyDescent="0.5">
      <c r="A94" s="28"/>
      <c r="B94" s="6" t="str">
        <f>IF(A94="","",VLOOKUP(A94,Ferrocarriles!$G$5:$I$10,2,0))</f>
        <v/>
      </c>
      <c r="C94" s="3" t="str">
        <f>IF(A94="","",VLOOKUP(A94,Ferrocarriles!$G$5:$I$10,3,0))</f>
        <v/>
      </c>
      <c r="D94" s="46" t="s">
        <v>79</v>
      </c>
      <c r="E94" s="3">
        <f>IF(D94="Si",1,0)</f>
        <v>0</v>
      </c>
      <c r="F94" s="6">
        <f>IF(D94="Si",B94,0)</f>
        <v>0</v>
      </c>
      <c r="G94" s="47"/>
      <c r="H94" s="48"/>
    </row>
    <row r="95" spans="1:9" x14ac:dyDescent="0.5">
      <c r="B95" s="8"/>
      <c r="D95" s="3" t="s">
        <v>87</v>
      </c>
      <c r="E95" s="3">
        <f>SUM(E91:E94)</f>
        <v>0</v>
      </c>
      <c r="F95" s="6">
        <f>SUM(F91:F94)</f>
        <v>0</v>
      </c>
      <c r="G95" s="11"/>
    </row>
    <row r="96" spans="1:9" x14ac:dyDescent="0.5">
      <c r="B96" s="8"/>
      <c r="D96" s="10"/>
      <c r="E96" s="49" t="str">
        <f>IF(E95&gt;B62,"Need to build more HI points to complete this investment(s)"," ")</f>
        <v xml:space="preserve"> </v>
      </c>
      <c r="F96" s="10"/>
      <c r="G96" s="11"/>
    </row>
    <row r="97" spans="1:7" x14ac:dyDescent="0.5">
      <c r="B97" s="8"/>
      <c r="F97" s="10"/>
      <c r="G97" s="11"/>
    </row>
    <row r="98" spans="1:7" x14ac:dyDescent="0.5">
      <c r="A98" s="45" t="s">
        <v>88</v>
      </c>
      <c r="B98" s="8"/>
      <c r="F98" s="8"/>
    </row>
    <row r="99" spans="1:7" x14ac:dyDescent="0.5">
      <c r="A99" s="3" t="s">
        <v>89</v>
      </c>
      <c r="B99" s="3" t="s">
        <v>73</v>
      </c>
      <c r="F99" s="6" t="s">
        <v>73</v>
      </c>
      <c r="G99" s="3" t="s">
        <v>84</v>
      </c>
    </row>
    <row r="100" spans="1:7" x14ac:dyDescent="0.5">
      <c r="A100" s="50"/>
      <c r="B100" s="51"/>
      <c r="C100" s="4"/>
      <c r="D100" s="41"/>
      <c r="F100" s="6">
        <f>B100</f>
        <v>0</v>
      </c>
      <c r="G100" s="46" t="s">
        <v>79</v>
      </c>
    </row>
    <row r="101" spans="1:7" x14ac:dyDescent="0.5">
      <c r="A101" s="50"/>
      <c r="B101" s="51"/>
      <c r="C101" s="4"/>
      <c r="D101" s="33"/>
      <c r="F101" s="6">
        <f>B101</f>
        <v>0</v>
      </c>
      <c r="G101" s="46" t="s">
        <v>79</v>
      </c>
    </row>
    <row r="102" spans="1:7" x14ac:dyDescent="0.5">
      <c r="A102" s="50"/>
      <c r="B102" s="51"/>
      <c r="C102" s="4"/>
      <c r="D102" s="48"/>
      <c r="F102" s="6">
        <f>B102</f>
        <v>0</v>
      </c>
      <c r="G102" s="46" t="s">
        <v>79</v>
      </c>
    </row>
    <row r="103" spans="1:7" x14ac:dyDescent="0.5">
      <c r="A103" s="50"/>
      <c r="B103" s="51"/>
      <c r="C103" s="4"/>
      <c r="F103" s="6">
        <f>B103</f>
        <v>0</v>
      </c>
      <c r="G103" s="46" t="s">
        <v>79</v>
      </c>
    </row>
    <row r="104" spans="1:7" x14ac:dyDescent="0.5">
      <c r="B104" s="8"/>
      <c r="E104" s="3" t="s">
        <v>90</v>
      </c>
      <c r="F104" s="35">
        <f>SUM(F100:F103)</f>
        <v>0</v>
      </c>
    </row>
    <row r="105" spans="1:7" x14ac:dyDescent="0.5">
      <c r="B105" s="8"/>
    </row>
    <row r="106" spans="1:7" x14ac:dyDescent="0.5">
      <c r="A106" s="52" t="s">
        <v>91</v>
      </c>
      <c r="B106" s="8"/>
    </row>
    <row r="107" spans="1:7" x14ac:dyDescent="0.5">
      <c r="C107" s="3" t="s">
        <v>92</v>
      </c>
      <c r="E107" s="3" t="s">
        <v>93</v>
      </c>
      <c r="F107" s="1" t="s">
        <v>1</v>
      </c>
    </row>
    <row r="108" spans="1:7" x14ac:dyDescent="0.5">
      <c r="A108" s="3" t="s">
        <v>94</v>
      </c>
      <c r="B108" s="3" t="s">
        <v>73</v>
      </c>
      <c r="C108" s="3" t="s">
        <v>76</v>
      </c>
      <c r="D108" s="3" t="s">
        <v>77</v>
      </c>
      <c r="E108" s="3" t="s">
        <v>76</v>
      </c>
      <c r="F108" s="6" t="s">
        <v>73</v>
      </c>
    </row>
    <row r="109" spans="1:7" x14ac:dyDescent="0.5">
      <c r="A109" s="3" t="s">
        <v>95</v>
      </c>
      <c r="B109" s="6">
        <v>30</v>
      </c>
      <c r="C109" s="13">
        <v>0</v>
      </c>
      <c r="D109" s="46" t="s">
        <v>79</v>
      </c>
      <c r="E109" s="13" t="str">
        <f t="shared" ref="E109:E117" si="13">IF(D109="Si",(C109+0.2),IF(D109="Continue",(C109)," "))</f>
        <v xml:space="preserve"> </v>
      </c>
      <c r="F109" s="6" t="str">
        <f t="shared" ref="F109:F117" si="14">IF(D109="Si",B109,IF(D109="Continue",5,""))</f>
        <v/>
      </c>
      <c r="G109" s="48"/>
    </row>
    <row r="110" spans="1:7" x14ac:dyDescent="0.5">
      <c r="A110" s="3" t="s">
        <v>96</v>
      </c>
      <c r="B110" s="6">
        <v>30</v>
      </c>
      <c r="C110" s="13">
        <v>0</v>
      </c>
      <c r="D110" s="46" t="s">
        <v>79</v>
      </c>
      <c r="E110" s="13" t="str">
        <f t="shared" si="13"/>
        <v xml:space="preserve"> </v>
      </c>
      <c r="F110" s="6" t="str">
        <f t="shared" si="14"/>
        <v/>
      </c>
      <c r="G110" s="48"/>
    </row>
    <row r="111" spans="1:7" x14ac:dyDescent="0.5">
      <c r="A111" s="3" t="s">
        <v>97</v>
      </c>
      <c r="B111" s="6">
        <v>30</v>
      </c>
      <c r="C111" s="13">
        <v>0</v>
      </c>
      <c r="D111" s="46" t="s">
        <v>79</v>
      </c>
      <c r="E111" s="13" t="str">
        <f t="shared" si="13"/>
        <v xml:space="preserve"> </v>
      </c>
      <c r="F111" s="6" t="str">
        <f t="shared" si="14"/>
        <v/>
      </c>
      <c r="G111" s="4"/>
    </row>
    <row r="112" spans="1:7" x14ac:dyDescent="0.5">
      <c r="A112" s="3" t="s">
        <v>98</v>
      </c>
      <c r="B112" s="6">
        <v>30</v>
      </c>
      <c r="C112" s="13">
        <v>0</v>
      </c>
      <c r="D112" s="46" t="s">
        <v>79</v>
      </c>
      <c r="E112" s="13" t="str">
        <f t="shared" si="13"/>
        <v xml:space="preserve"> </v>
      </c>
      <c r="F112" s="6" t="str">
        <f t="shared" si="14"/>
        <v/>
      </c>
      <c r="G112" s="4"/>
    </row>
    <row r="113" spans="1:9" x14ac:dyDescent="0.5">
      <c r="A113" s="3" t="s">
        <v>99</v>
      </c>
      <c r="B113" s="6">
        <v>30</v>
      </c>
      <c r="C113" s="13">
        <v>0</v>
      </c>
      <c r="D113" s="46" t="s">
        <v>79</v>
      </c>
      <c r="E113" s="13" t="str">
        <f t="shared" si="13"/>
        <v xml:space="preserve"> </v>
      </c>
      <c r="F113" s="6" t="str">
        <f t="shared" si="14"/>
        <v/>
      </c>
      <c r="G113" s="48"/>
    </row>
    <row r="114" spans="1:9" x14ac:dyDescent="0.5">
      <c r="A114" s="3" t="s">
        <v>100</v>
      </c>
      <c r="B114" s="6">
        <v>30</v>
      </c>
      <c r="C114" s="13">
        <v>0</v>
      </c>
      <c r="D114" s="46" t="s">
        <v>79</v>
      </c>
      <c r="E114" s="13" t="str">
        <f t="shared" si="13"/>
        <v xml:space="preserve"> </v>
      </c>
      <c r="F114" s="6" t="str">
        <f t="shared" si="14"/>
        <v/>
      </c>
      <c r="G114" s="48"/>
    </row>
    <row r="115" spans="1:9" x14ac:dyDescent="0.5">
      <c r="A115" s="3" t="s">
        <v>101</v>
      </c>
      <c r="B115" s="6">
        <v>30</v>
      </c>
      <c r="C115" s="13">
        <v>0</v>
      </c>
      <c r="D115" s="46" t="s">
        <v>79</v>
      </c>
      <c r="E115" s="13" t="str">
        <f t="shared" si="13"/>
        <v xml:space="preserve"> </v>
      </c>
      <c r="F115" s="6" t="str">
        <f t="shared" si="14"/>
        <v/>
      </c>
      <c r="G115" s="48"/>
    </row>
    <row r="116" spans="1:9" x14ac:dyDescent="0.5">
      <c r="A116" s="3" t="s">
        <v>277</v>
      </c>
      <c r="B116" s="6">
        <v>40</v>
      </c>
      <c r="C116" s="13">
        <v>0</v>
      </c>
      <c r="D116" s="46" t="s">
        <v>79</v>
      </c>
      <c r="E116" s="13" t="str">
        <f t="shared" si="13"/>
        <v xml:space="preserve"> </v>
      </c>
      <c r="F116" s="6" t="str">
        <f t="shared" si="14"/>
        <v/>
      </c>
      <c r="G116" s="4" t="str">
        <f>IF(D116="Continue","New roll to complete investment at current %"," ")</f>
        <v xml:space="preserve"> </v>
      </c>
    </row>
    <row r="117" spans="1:9" x14ac:dyDescent="0.5">
      <c r="A117" s="3" t="s">
        <v>102</v>
      </c>
      <c r="B117" s="6">
        <v>40</v>
      </c>
      <c r="C117" s="13">
        <v>0</v>
      </c>
      <c r="D117" s="36" t="s">
        <v>79</v>
      </c>
      <c r="E117" s="13" t="str">
        <f t="shared" si="13"/>
        <v xml:space="preserve"> </v>
      </c>
      <c r="F117" s="6" t="str">
        <f t="shared" si="14"/>
        <v/>
      </c>
      <c r="G117" s="4"/>
    </row>
    <row r="118" spans="1:9" x14ac:dyDescent="0.5">
      <c r="E118" s="53" t="s">
        <v>17</v>
      </c>
      <c r="F118" s="54">
        <f>SUM(F109:F116)</f>
        <v>0</v>
      </c>
      <c r="G118" s="4"/>
    </row>
    <row r="119" spans="1:9" x14ac:dyDescent="0.5">
      <c r="D119" s="3"/>
      <c r="E119" s="55" t="s">
        <v>103</v>
      </c>
      <c r="F119" s="35">
        <f>H64-G88-F104-F118-F95</f>
        <v>122.36000000000001</v>
      </c>
    </row>
    <row r="121" spans="1:9" x14ac:dyDescent="0.5">
      <c r="A121" s="38" t="s">
        <v>104</v>
      </c>
      <c r="B121" s="39"/>
      <c r="C121" s="39"/>
      <c r="D121" s="39"/>
      <c r="E121" s="39"/>
      <c r="F121" s="39"/>
      <c r="G121" s="39"/>
      <c r="H121" s="39"/>
      <c r="I121" s="39"/>
    </row>
    <row r="122" spans="1:9" x14ac:dyDescent="0.5">
      <c r="A122" s="3" t="s">
        <v>105</v>
      </c>
      <c r="B122" s="3">
        <f>B62-E95</f>
        <v>0</v>
      </c>
      <c r="D122" s="3" t="s">
        <v>56</v>
      </c>
      <c r="E122" s="35">
        <f>F119</f>
        <v>122.36000000000001</v>
      </c>
    </row>
    <row r="123" spans="1:9" x14ac:dyDescent="0.5">
      <c r="A123" s="10"/>
      <c r="B123" s="49" t="str">
        <f>IF(B122&lt;0,"Not enough HI ava"," ")</f>
        <v xml:space="preserve"> </v>
      </c>
      <c r="D123" s="10"/>
      <c r="E123" s="12"/>
    </row>
    <row r="124" spans="1:9" x14ac:dyDescent="0.5">
      <c r="B124" s="1" t="s">
        <v>86</v>
      </c>
    </row>
    <row r="125" spans="1:9" x14ac:dyDescent="0.5">
      <c r="A125" s="3" t="s">
        <v>106</v>
      </c>
      <c r="B125" s="56">
        <v>0</v>
      </c>
    </row>
    <row r="126" spans="1:9" x14ac:dyDescent="0.5">
      <c r="A126" s="3" t="s">
        <v>107</v>
      </c>
      <c r="B126" s="56"/>
    </row>
    <row r="127" spans="1:9" x14ac:dyDescent="0.5">
      <c r="A127" s="3" t="s">
        <v>17</v>
      </c>
      <c r="B127" s="24">
        <f>B122-B125-B126</f>
        <v>0</v>
      </c>
      <c r="D127" s="1" t="str">
        <f>IF(B127&lt;0,"Total Exceeds ava HI points"," ")</f>
        <v xml:space="preserve"> </v>
      </c>
    </row>
    <row r="130" spans="1:13" x14ac:dyDescent="0.5">
      <c r="A130" s="52" t="s">
        <v>106</v>
      </c>
    </row>
    <row r="131" spans="1:13" ht="17.649999999999999" customHeight="1" x14ac:dyDescent="0.5">
      <c r="A131" s="57" t="s">
        <v>108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173" t="s">
        <v>109</v>
      </c>
      <c r="L131" s="174" t="s">
        <v>73</v>
      </c>
    </row>
    <row r="132" spans="1:13" x14ac:dyDescent="0.5">
      <c r="A132" s="59" t="s">
        <v>110</v>
      </c>
      <c r="B132" s="60">
        <f>B125*8</f>
        <v>0</v>
      </c>
      <c r="C132" s="60" t="s">
        <v>111</v>
      </c>
      <c r="D132" s="60" t="s">
        <v>112</v>
      </c>
      <c r="E132" s="60" t="s">
        <v>113</v>
      </c>
      <c r="F132" s="60" t="s">
        <v>112</v>
      </c>
      <c r="G132" s="60" t="s">
        <v>114</v>
      </c>
      <c r="H132" s="60" t="s">
        <v>112</v>
      </c>
      <c r="I132" s="60" t="s">
        <v>115</v>
      </c>
      <c r="J132" s="60" t="s">
        <v>112</v>
      </c>
      <c r="K132" s="173"/>
      <c r="L132" s="174"/>
    </row>
    <row r="133" spans="1:13" x14ac:dyDescent="0.5">
      <c r="A133" s="3" t="s">
        <v>116</v>
      </c>
      <c r="B133" s="3" t="str">
        <f>IF(B125&gt;0, 8," ")</f>
        <v xml:space="preserve"> </v>
      </c>
      <c r="C133" s="56"/>
      <c r="D133" s="46"/>
      <c r="E133" s="56"/>
      <c r="F133" s="46"/>
      <c r="G133" s="56"/>
      <c r="H133" s="46"/>
      <c r="I133" s="56"/>
      <c r="J133" s="46"/>
      <c r="K133" s="3">
        <f>C133+E133+(G133*2)+(I133*4)</f>
        <v>0</v>
      </c>
      <c r="L133" s="35">
        <f>Data!Q3</f>
        <v>0</v>
      </c>
      <c r="M133" s="9" t="str">
        <f>IF(K133&gt;8,"Need to reduce number of weapons ordered"," ")</f>
        <v xml:space="preserve"> </v>
      </c>
    </row>
    <row r="134" spans="1:13" x14ac:dyDescent="0.5">
      <c r="A134" s="3" t="s">
        <v>117</v>
      </c>
      <c r="B134" s="3" t="str">
        <f>IF(B125&gt;1,8," ")</f>
        <v xml:space="preserve"> </v>
      </c>
      <c r="C134" s="56"/>
      <c r="D134" s="46"/>
      <c r="E134" s="56"/>
      <c r="F134" s="46"/>
      <c r="G134" s="56"/>
      <c r="H134" s="46"/>
      <c r="I134" s="56"/>
      <c r="J134" s="46"/>
      <c r="K134" s="3">
        <f>C134+E134+(G134*2)+(I134*4)</f>
        <v>0</v>
      </c>
      <c r="L134" s="35">
        <f>Data!Q4</f>
        <v>0</v>
      </c>
      <c r="M134" s="9" t="str">
        <f>IF(K134&gt;8,"Need to reduce number of weapons ordered"," ")</f>
        <v xml:space="preserve"> </v>
      </c>
    </row>
    <row r="135" spans="1:13" x14ac:dyDescent="0.5">
      <c r="A135" s="3" t="s">
        <v>118</v>
      </c>
      <c r="B135" s="3" t="str">
        <f>IF(B125&gt;2,8," ")</f>
        <v xml:space="preserve"> </v>
      </c>
      <c r="C135" s="56"/>
      <c r="D135" s="46"/>
      <c r="E135" s="56"/>
      <c r="F135" s="46"/>
      <c r="G135" s="56"/>
      <c r="H135" s="46"/>
      <c r="I135" s="56"/>
      <c r="J135" s="46"/>
      <c r="K135" s="3">
        <f>C135+E135+(G135*2)+(I135*4)</f>
        <v>0</v>
      </c>
      <c r="L135" s="35">
        <f>Data!Q5</f>
        <v>0</v>
      </c>
      <c r="M135" s="9" t="str">
        <f>IF(K135&gt;8,"Need to reduce number of weapons ordered"," ")</f>
        <v xml:space="preserve"> </v>
      </c>
    </row>
    <row r="136" spans="1:13" x14ac:dyDescent="0.5">
      <c r="A136" s="3" t="s">
        <v>119</v>
      </c>
      <c r="B136" s="3" t="str">
        <f>IF(B125&gt;3,8," ")</f>
        <v xml:space="preserve"> </v>
      </c>
      <c r="C136" s="56"/>
      <c r="D136" s="46"/>
      <c r="E136" s="56"/>
      <c r="F136" s="46"/>
      <c r="G136" s="56"/>
      <c r="H136" s="46"/>
      <c r="I136" s="56"/>
      <c r="J136" s="46"/>
      <c r="K136" s="3">
        <f>C136+E136+(G136*2)+(I136*4)</f>
        <v>0</v>
      </c>
      <c r="L136" s="35">
        <f>Data!Q6</f>
        <v>0</v>
      </c>
      <c r="M136" s="9" t="str">
        <f>IF(K136&gt;8,"Need to reduce number of weapons ordered"," ")</f>
        <v xml:space="preserve"> </v>
      </c>
    </row>
    <row r="137" spans="1:13" x14ac:dyDescent="0.5">
      <c r="K137" s="3" t="s">
        <v>17</v>
      </c>
      <c r="L137" s="35">
        <f>SUM(L133:L136)</f>
        <v>0</v>
      </c>
    </row>
    <row r="138" spans="1:13" x14ac:dyDescent="0.5">
      <c r="A138" s="1" t="s">
        <v>1</v>
      </c>
    </row>
    <row r="139" spans="1:13" x14ac:dyDescent="0.5">
      <c r="B139" s="39"/>
      <c r="C139" s="39"/>
      <c r="D139" s="39"/>
      <c r="E139" s="39"/>
      <c r="F139" s="39"/>
      <c r="G139" s="39"/>
      <c r="H139" s="39"/>
      <c r="I139" s="39"/>
    </row>
    <row r="140" spans="1:13" x14ac:dyDescent="0.5">
      <c r="A140" s="38" t="s">
        <v>120</v>
      </c>
      <c r="B140" s="61"/>
      <c r="C140" s="61"/>
      <c r="D140" s="61"/>
      <c r="E140" s="61"/>
      <c r="F140" s="10"/>
      <c r="G140" s="10"/>
    </row>
    <row r="141" spans="1:13" x14ac:dyDescent="0.5">
      <c r="A141" s="169"/>
      <c r="B141" s="169"/>
      <c r="C141" s="61"/>
      <c r="D141" s="3" t="s">
        <v>121</v>
      </c>
      <c r="E141" s="3" t="s">
        <v>122</v>
      </c>
      <c r="F141" s="3" t="s">
        <v>123</v>
      </c>
      <c r="G141" s="3" t="s">
        <v>124</v>
      </c>
      <c r="H141" s="3" t="s">
        <v>73</v>
      </c>
      <c r="I141" s="3" t="s">
        <v>125</v>
      </c>
    </row>
    <row r="142" spans="1:13" x14ac:dyDescent="0.5">
      <c r="A142" s="169"/>
      <c r="B142" s="169"/>
      <c r="C142" s="61"/>
      <c r="D142" s="62">
        <v>0</v>
      </c>
      <c r="E142" s="62">
        <v>0</v>
      </c>
      <c r="F142" s="62">
        <v>0</v>
      </c>
      <c r="G142" s="62">
        <v>0</v>
      </c>
      <c r="H142" s="6">
        <f>(D142*Data!Q17)+(Data!Q18*E142)+(F142*Data!Q17)+(G142*Data!Q17)</f>
        <v>0</v>
      </c>
      <c r="I142" s="3">
        <f>(D142+E142+F142+G142)*200000</f>
        <v>0</v>
      </c>
    </row>
    <row r="145" spans="1:9" x14ac:dyDescent="0.5">
      <c r="A145" s="39"/>
      <c r="B145" s="39"/>
      <c r="C145" s="39"/>
      <c r="D145" s="39"/>
      <c r="E145" s="39"/>
      <c r="F145" s="39"/>
      <c r="G145" s="39"/>
      <c r="H145" s="39"/>
      <c r="I145" s="39"/>
    </row>
    <row r="146" spans="1:9" x14ac:dyDescent="0.5">
      <c r="A146" s="45" t="s">
        <v>107</v>
      </c>
    </row>
    <row r="147" spans="1:9" x14ac:dyDescent="0.5">
      <c r="A147" s="3" t="s">
        <v>126</v>
      </c>
      <c r="B147" s="3">
        <f>B126*20</f>
        <v>0</v>
      </c>
    </row>
    <row r="149" spans="1:9" ht="17.649999999999999" customHeight="1" x14ac:dyDescent="0.5">
      <c r="A149" s="57"/>
      <c r="B149" s="58"/>
      <c r="C149" s="58"/>
      <c r="D149" s="58"/>
      <c r="E149" s="58"/>
      <c r="F149" s="173" t="s">
        <v>127</v>
      </c>
      <c r="G149" s="63"/>
    </row>
    <row r="150" spans="1:9" x14ac:dyDescent="0.5">
      <c r="A150" s="59" t="s">
        <v>128</v>
      </c>
      <c r="B150" s="60" t="s">
        <v>129</v>
      </c>
      <c r="C150" s="60" t="s">
        <v>85</v>
      </c>
      <c r="D150" s="60" t="s">
        <v>130</v>
      </c>
      <c r="E150" s="60" t="s">
        <v>112</v>
      </c>
      <c r="F150" s="173"/>
      <c r="G150" s="64" t="s">
        <v>73</v>
      </c>
    </row>
    <row r="151" spans="1:9" x14ac:dyDescent="0.5">
      <c r="A151" s="46"/>
      <c r="B151" s="3" t="str">
        <f t="shared" ref="B151:B156" si="15">IF(A151&gt;" ",(VLOOKUP(A151,Ship_size,2,0))," ")</f>
        <v xml:space="preserve"> </v>
      </c>
      <c r="C151" s="3" t="str">
        <f t="shared" ref="C151:C156" si="16">IF(A151&gt;" ",(VLOOKUP(A151,Ship_size,3,0))," ")</f>
        <v xml:space="preserve"> </v>
      </c>
      <c r="D151" s="46"/>
      <c r="E151" s="46"/>
      <c r="F151" s="3">
        <f t="shared" ref="F151:F156" si="17">IF(A151&gt;" ",(B151*D151),0)</f>
        <v>0</v>
      </c>
      <c r="G151" s="35">
        <f>IF(A151&gt;" ",(VLOOKUP(A151,Ship_size,Data!E40,0)*D151),0)</f>
        <v>0</v>
      </c>
      <c r="H151" s="4"/>
    </row>
    <row r="152" spans="1:9" x14ac:dyDescent="0.5">
      <c r="A152" s="46"/>
      <c r="B152" s="3" t="str">
        <f t="shared" si="15"/>
        <v xml:space="preserve"> </v>
      </c>
      <c r="C152" s="3" t="str">
        <f t="shared" si="16"/>
        <v xml:space="preserve"> </v>
      </c>
      <c r="D152" s="46"/>
      <c r="E152" s="46"/>
      <c r="F152" s="3">
        <f t="shared" si="17"/>
        <v>0</v>
      </c>
      <c r="G152" s="35">
        <f>IF(A152&gt;" ",(VLOOKUP(A152,Ship_size,Data!E41,0)*D152),0)</f>
        <v>0</v>
      </c>
      <c r="H152" s="4"/>
    </row>
    <row r="153" spans="1:9" x14ac:dyDescent="0.5">
      <c r="A153" s="46"/>
      <c r="B153" s="3" t="str">
        <f t="shared" si="15"/>
        <v xml:space="preserve"> </v>
      </c>
      <c r="C153" s="3" t="str">
        <f t="shared" si="16"/>
        <v xml:space="preserve"> </v>
      </c>
      <c r="D153" s="46"/>
      <c r="E153" s="46"/>
      <c r="F153" s="3">
        <f t="shared" si="17"/>
        <v>0</v>
      </c>
      <c r="G153" s="35">
        <f>IF(A153&gt;" ",(VLOOKUP(A153,Ship_size,Data!E42,0)*D153),0)</f>
        <v>0</v>
      </c>
      <c r="H153" s="4"/>
    </row>
    <row r="154" spans="1:9" x14ac:dyDescent="0.5">
      <c r="A154" s="46"/>
      <c r="B154" s="3" t="str">
        <f t="shared" si="15"/>
        <v xml:space="preserve"> </v>
      </c>
      <c r="C154" s="3" t="str">
        <f t="shared" si="16"/>
        <v xml:space="preserve"> </v>
      </c>
      <c r="D154" s="46"/>
      <c r="E154" s="46"/>
      <c r="F154" s="3">
        <f t="shared" si="17"/>
        <v>0</v>
      </c>
      <c r="G154" s="35">
        <f>IF(A154&gt;" ",(VLOOKUP(A154,Ship_size,Data!E43,0)*D154),0)</f>
        <v>0</v>
      </c>
      <c r="H154" s="4"/>
    </row>
    <row r="155" spans="1:9" x14ac:dyDescent="0.5">
      <c r="A155" s="46"/>
      <c r="B155" s="3" t="str">
        <f t="shared" si="15"/>
        <v xml:space="preserve"> </v>
      </c>
      <c r="C155" s="3" t="str">
        <f t="shared" si="16"/>
        <v xml:space="preserve"> </v>
      </c>
      <c r="D155" s="46"/>
      <c r="E155" s="46"/>
      <c r="F155" s="3">
        <f t="shared" si="17"/>
        <v>0</v>
      </c>
      <c r="G155" s="35">
        <f>IF(A155&gt;" ",(VLOOKUP(A155,Ship_size,Data!E44,0)*D155),0)</f>
        <v>0</v>
      </c>
      <c r="H155" s="4"/>
    </row>
    <row r="156" spans="1:9" x14ac:dyDescent="0.5">
      <c r="A156" s="46"/>
      <c r="B156" s="3" t="str">
        <f t="shared" si="15"/>
        <v xml:space="preserve"> </v>
      </c>
      <c r="C156" s="3" t="str">
        <f t="shared" si="16"/>
        <v xml:space="preserve"> </v>
      </c>
      <c r="D156" s="46"/>
      <c r="E156" s="46"/>
      <c r="F156" s="3">
        <f t="shared" si="17"/>
        <v>0</v>
      </c>
      <c r="G156" s="35">
        <f>IF(A156&gt;" ",(VLOOKUP(A156,Ship_size,Data!E45,0)*D156),0)</f>
        <v>0</v>
      </c>
    </row>
    <row r="157" spans="1:9" x14ac:dyDescent="0.5">
      <c r="C157" s="65" t="s">
        <v>1</v>
      </c>
      <c r="D157" s="66" t="s">
        <v>1</v>
      </c>
      <c r="E157" s="3" t="s">
        <v>17</v>
      </c>
      <c r="F157" s="3">
        <f>SUM(F151:F156)</f>
        <v>0</v>
      </c>
      <c r="G157" s="35">
        <f>SUM(G151:G156)</f>
        <v>0</v>
      </c>
      <c r="H157" s="9" t="str">
        <f>IF(F157&gt;B147,"Ship sizes used exceeds number of ship sizes ava"," ")</f>
        <v xml:space="preserve"> </v>
      </c>
    </row>
    <row r="159" spans="1:9" x14ac:dyDescent="0.5">
      <c r="A159" s="1" t="s">
        <v>1</v>
      </c>
    </row>
    <row r="160" spans="1:9" x14ac:dyDescent="0.5">
      <c r="A160" s="57"/>
      <c r="B160" s="58"/>
      <c r="C160" s="58"/>
      <c r="D160" s="58"/>
      <c r="E160" s="58"/>
      <c r="F160" s="173"/>
      <c r="G160" s="63"/>
    </row>
    <row r="161" spans="1:7" x14ac:dyDescent="0.5">
      <c r="A161" s="59" t="s">
        <v>132</v>
      </c>
      <c r="B161" s="60" t="s">
        <v>112</v>
      </c>
      <c r="C161" s="60" t="s">
        <v>130</v>
      </c>
      <c r="D161" s="67" t="s">
        <v>133</v>
      </c>
      <c r="E161" s="60"/>
      <c r="F161" s="173"/>
      <c r="G161" s="64"/>
    </row>
    <row r="162" spans="1:7" x14ac:dyDescent="0.5">
      <c r="A162" s="3"/>
      <c r="B162" s="3"/>
      <c r="C162" s="3"/>
      <c r="D162" s="3"/>
    </row>
    <row r="163" spans="1:7" x14ac:dyDescent="0.5">
      <c r="A163" s="3"/>
      <c r="B163" s="3"/>
      <c r="C163" s="3"/>
      <c r="D163" s="3"/>
    </row>
    <row r="164" spans="1:7" x14ac:dyDescent="0.5">
      <c r="A164" s="3"/>
      <c r="B164" s="3"/>
      <c r="C164" s="3"/>
      <c r="D164" s="3"/>
    </row>
    <row r="165" spans="1:7" x14ac:dyDescent="0.5">
      <c r="A165" s="3"/>
      <c r="B165" s="3"/>
      <c r="C165" s="3"/>
      <c r="D165" s="3"/>
    </row>
    <row r="166" spans="1:7" x14ac:dyDescent="0.5">
      <c r="F166" s="3" t="s">
        <v>17</v>
      </c>
      <c r="G166" s="6">
        <v>0</v>
      </c>
    </row>
    <row r="168" spans="1:7" x14ac:dyDescent="0.5">
      <c r="A168" s="68" t="s">
        <v>134</v>
      </c>
      <c r="B168" s="69"/>
      <c r="C168" s="69"/>
      <c r="D168" s="69"/>
      <c r="E168" s="69"/>
      <c r="F168" s="69"/>
      <c r="G168" s="69"/>
    </row>
    <row r="169" spans="1:7" x14ac:dyDescent="0.5">
      <c r="A169" s="70" t="s">
        <v>135</v>
      </c>
      <c r="B169" s="70" t="s">
        <v>136</v>
      </c>
      <c r="C169" s="70" t="s">
        <v>73</v>
      </c>
    </row>
    <row r="170" spans="1:7" x14ac:dyDescent="0.5">
      <c r="A170" s="71"/>
      <c r="B170" s="71"/>
      <c r="C170" s="35" t="str">
        <f>IF(B170&gt;0,(VLOOKUP(B170,MilitaryB_cost,2,0))," ")</f>
        <v xml:space="preserve"> </v>
      </c>
    </row>
    <row r="171" spans="1:7" x14ac:dyDescent="0.5">
      <c r="A171" s="71"/>
      <c r="B171" s="71"/>
      <c r="C171" s="35" t="str">
        <f>IF(B171&gt;0,(VLOOKUP(B171,MilitaryB_cost,2,0))," ")</f>
        <v xml:space="preserve"> </v>
      </c>
    </row>
    <row r="172" spans="1:7" x14ac:dyDescent="0.5">
      <c r="A172" s="71"/>
      <c r="B172" s="71"/>
      <c r="C172" s="35" t="str">
        <f>IF(B172&gt;0,(VLOOKUP(B172,MilitaryB_cost,2,0))," ")</f>
        <v xml:space="preserve"> </v>
      </c>
    </row>
    <row r="173" spans="1:7" x14ac:dyDescent="0.5">
      <c r="A173" s="71"/>
      <c r="B173" s="71"/>
      <c r="C173" s="35" t="str">
        <f>IF(B173&gt;0,(VLOOKUP(B173,MilitaryB_cost,2,0))," ")</f>
        <v xml:space="preserve"> </v>
      </c>
    </row>
    <row r="174" spans="1:7" x14ac:dyDescent="0.5">
      <c r="B174" s="3" t="s">
        <v>87</v>
      </c>
      <c r="C174" s="35">
        <f>SUM(C170:C173)</f>
        <v>0</v>
      </c>
    </row>
    <row r="177" spans="1:9" x14ac:dyDescent="0.5">
      <c r="B177" s="39"/>
      <c r="C177" s="39"/>
      <c r="D177" s="39"/>
      <c r="E177" s="39"/>
      <c r="F177" s="39"/>
      <c r="G177" s="39"/>
      <c r="H177" s="39"/>
      <c r="I177" s="39"/>
    </row>
    <row r="178" spans="1:9" x14ac:dyDescent="0.5">
      <c r="A178" s="38" t="s">
        <v>137</v>
      </c>
    </row>
    <row r="179" spans="1:9" x14ac:dyDescent="0.5">
      <c r="A179" s="167" t="s">
        <v>138</v>
      </c>
      <c r="B179" s="167"/>
      <c r="C179" s="167"/>
      <c r="D179" s="167"/>
      <c r="E179" s="167"/>
      <c r="F179" s="167"/>
      <c r="G179" s="72" t="s">
        <v>139</v>
      </c>
    </row>
    <row r="180" spans="1:9" ht="19.5" customHeight="1" x14ac:dyDescent="0.5">
      <c r="A180" s="175"/>
      <c r="B180" s="175"/>
      <c r="C180" s="175"/>
      <c r="D180" s="175"/>
      <c r="E180" s="175"/>
      <c r="F180" s="175"/>
      <c r="G180" s="51"/>
    </row>
    <row r="181" spans="1:9" x14ac:dyDescent="0.5">
      <c r="A181" s="175"/>
      <c r="B181" s="175"/>
      <c r="C181" s="175"/>
      <c r="D181" s="175"/>
      <c r="E181" s="175"/>
      <c r="F181" s="175"/>
      <c r="G181" s="51"/>
    </row>
    <row r="182" spans="1:9" ht="19.5" customHeight="1" x14ac:dyDescent="0.5">
      <c r="A182" s="175"/>
      <c r="B182" s="175"/>
      <c r="C182" s="175"/>
      <c r="D182" s="175"/>
      <c r="E182" s="175"/>
      <c r="F182" s="175"/>
      <c r="G182" s="51"/>
    </row>
    <row r="183" spans="1:9" ht="19.5" customHeight="1" x14ac:dyDescent="0.5">
      <c r="A183" s="175"/>
      <c r="B183" s="175"/>
      <c r="C183" s="175"/>
      <c r="D183" s="175"/>
      <c r="E183" s="175"/>
      <c r="F183" s="175"/>
      <c r="G183" s="51"/>
    </row>
    <row r="184" spans="1:9" ht="19.5" customHeight="1" x14ac:dyDescent="0.5">
      <c r="A184" s="175"/>
      <c r="B184" s="175"/>
      <c r="C184" s="175"/>
      <c r="D184" s="175"/>
      <c r="E184" s="175"/>
      <c r="F184" s="175"/>
      <c r="G184" s="51"/>
    </row>
    <row r="185" spans="1:9" ht="19.5" customHeight="1" x14ac:dyDescent="0.5">
      <c r="A185" s="175"/>
      <c r="B185" s="175"/>
      <c r="C185" s="175"/>
      <c r="D185" s="175"/>
      <c r="E185" s="175"/>
      <c r="F185" s="175"/>
      <c r="G185" s="51"/>
    </row>
    <row r="186" spans="1:9" ht="19.5" customHeight="1" x14ac:dyDescent="0.5">
      <c r="A186" s="175"/>
      <c r="B186" s="175"/>
      <c r="C186" s="175"/>
      <c r="D186" s="175"/>
      <c r="E186" s="175"/>
      <c r="F186" s="175"/>
      <c r="G186" s="51"/>
    </row>
    <row r="187" spans="1:9" ht="19.5" customHeight="1" x14ac:dyDescent="0.5">
      <c r="A187" s="175"/>
      <c r="B187" s="175"/>
      <c r="C187" s="175"/>
      <c r="D187" s="175"/>
      <c r="E187" s="175"/>
      <c r="F187" s="175"/>
      <c r="G187" s="51"/>
    </row>
    <row r="188" spans="1:9" ht="19.5" customHeight="1" x14ac:dyDescent="0.5">
      <c r="A188" s="175"/>
      <c r="B188" s="175"/>
      <c r="C188" s="175"/>
      <c r="D188" s="175"/>
      <c r="E188" s="175"/>
      <c r="F188" s="175"/>
      <c r="G188" s="51"/>
    </row>
    <row r="189" spans="1:9" ht="19.5" customHeight="1" x14ac:dyDescent="0.5">
      <c r="A189" s="175"/>
      <c r="B189" s="175"/>
      <c r="C189" s="175"/>
      <c r="D189" s="175"/>
      <c r="E189" s="175"/>
      <c r="F189" s="175"/>
      <c r="G189" s="51"/>
    </row>
    <row r="190" spans="1:9" x14ac:dyDescent="0.5">
      <c r="A190" s="175"/>
      <c r="B190" s="175"/>
      <c r="C190" s="175"/>
      <c r="D190" s="175"/>
      <c r="E190" s="175"/>
      <c r="F190" s="175"/>
      <c r="G190" s="51"/>
    </row>
    <row r="191" spans="1:9" x14ac:dyDescent="0.5">
      <c r="A191" s="176"/>
      <c r="B191" s="176"/>
      <c r="C191" s="176"/>
      <c r="D191" s="176"/>
      <c r="E191" s="176"/>
      <c r="F191" s="176"/>
      <c r="G191" s="51"/>
    </row>
    <row r="192" spans="1:9" x14ac:dyDescent="0.5">
      <c r="A192" s="175"/>
      <c r="B192" s="175"/>
      <c r="C192" s="175"/>
      <c r="D192" s="175"/>
      <c r="E192" s="175"/>
      <c r="F192" s="175"/>
      <c r="G192" s="73"/>
    </row>
    <row r="193" spans="1:7" x14ac:dyDescent="0.5">
      <c r="A193" s="175"/>
      <c r="B193" s="175"/>
      <c r="C193" s="175"/>
      <c r="D193" s="175"/>
      <c r="E193" s="175"/>
      <c r="F193" s="175"/>
      <c r="G193" s="73"/>
    </row>
    <row r="194" spans="1:7" x14ac:dyDescent="0.5">
      <c r="A194" s="177"/>
      <c r="B194" s="177"/>
      <c r="C194" s="177"/>
      <c r="D194" s="177"/>
      <c r="E194" s="177"/>
      <c r="F194" s="177"/>
      <c r="G194" s="73"/>
    </row>
    <row r="195" spans="1:7" x14ac:dyDescent="0.5">
      <c r="A195" s="175"/>
      <c r="B195" s="175"/>
      <c r="C195" s="175"/>
      <c r="D195" s="175"/>
      <c r="E195" s="175"/>
      <c r="F195" s="175"/>
      <c r="G195" s="51"/>
    </row>
    <row r="196" spans="1:7" x14ac:dyDescent="0.5">
      <c r="A196" s="175"/>
      <c r="B196" s="175"/>
      <c r="C196" s="175"/>
      <c r="D196" s="175"/>
      <c r="E196" s="175"/>
      <c r="F196" s="175"/>
      <c r="G196" s="51"/>
    </row>
    <row r="197" spans="1:7" x14ac:dyDescent="0.5">
      <c r="A197" s="177"/>
      <c r="B197" s="177"/>
      <c r="C197" s="177"/>
      <c r="D197" s="177"/>
      <c r="E197" s="177"/>
      <c r="F197" s="177"/>
      <c r="G197" s="51"/>
    </row>
    <row r="198" spans="1:7" x14ac:dyDescent="0.5">
      <c r="A198" s="175"/>
      <c r="B198" s="175"/>
      <c r="C198" s="175"/>
      <c r="D198" s="175"/>
      <c r="E198" s="175"/>
      <c r="F198" s="175"/>
      <c r="G198" s="51"/>
    </row>
    <row r="199" spans="1:7" ht="41.25" customHeight="1" x14ac:dyDescent="0.5"/>
    <row r="200" spans="1:7" x14ac:dyDescent="0.5">
      <c r="F200" s="3" t="s">
        <v>17</v>
      </c>
      <c r="G200" s="35">
        <f>SUM(G180:G198)</f>
        <v>0</v>
      </c>
    </row>
    <row r="202" spans="1:7" x14ac:dyDescent="0.5">
      <c r="E202" s="167" t="s">
        <v>59</v>
      </c>
      <c r="F202" s="167"/>
      <c r="G202" s="35">
        <f>E122-L137-H142-G157-G166-C174-G200</f>
        <v>122.36000000000001</v>
      </c>
    </row>
  </sheetData>
  <sheetProtection algorithmName="SHA-512" hashValue="zkJbSYZlvfVe98QFAO6QJ8p2JfZ7fpSgIoek6fRnl6prrMw+2lV3wSTlxWaZlqVLqWU/fPaNDnhOhFW8ONn2Pw==" saltValue="TCdmFMQNEbctZCEDHqyeeg==" spinCount="100000" sheet="1" objects="1" scenarios="1"/>
  <mergeCells count="47">
    <mergeCell ref="E202:F202"/>
    <mergeCell ref="A194:F194"/>
    <mergeCell ref="A195:F195"/>
    <mergeCell ref="A196:F196"/>
    <mergeCell ref="A197:F197"/>
    <mergeCell ref="A198:F198"/>
    <mergeCell ref="A189:F189"/>
    <mergeCell ref="A190:F190"/>
    <mergeCell ref="A191:F191"/>
    <mergeCell ref="A192:F192"/>
    <mergeCell ref="A193:F193"/>
    <mergeCell ref="A184:F184"/>
    <mergeCell ref="A185:F185"/>
    <mergeCell ref="A186:F186"/>
    <mergeCell ref="A187:F187"/>
    <mergeCell ref="A188:F188"/>
    <mergeCell ref="A179:F179"/>
    <mergeCell ref="A180:F180"/>
    <mergeCell ref="A181:F181"/>
    <mergeCell ref="A182:F182"/>
    <mergeCell ref="A183:F183"/>
    <mergeCell ref="K131:K132"/>
    <mergeCell ref="L131:L132"/>
    <mergeCell ref="A141:B142"/>
    <mergeCell ref="F149:F150"/>
    <mergeCell ref="F160:F161"/>
    <mergeCell ref="A37:P37"/>
    <mergeCell ref="B39:D39"/>
    <mergeCell ref="J39:M39"/>
    <mergeCell ref="A66:P66"/>
    <mergeCell ref="E69:E70"/>
    <mergeCell ref="F69:F70"/>
    <mergeCell ref="G69:G70"/>
    <mergeCell ref="H69:H70"/>
    <mergeCell ref="A18:P18"/>
    <mergeCell ref="I20:N20"/>
    <mergeCell ref="K21:L21"/>
    <mergeCell ref="M21:N21"/>
    <mergeCell ref="O29:Q29"/>
    <mergeCell ref="A1:P1"/>
    <mergeCell ref="A7:B7"/>
    <mergeCell ref="G7:H7"/>
    <mergeCell ref="G8:H8"/>
    <mergeCell ref="K11:K12"/>
    <mergeCell ref="D12:D13"/>
    <mergeCell ref="G12:H12"/>
    <mergeCell ref="G13:H13"/>
  </mergeCells>
  <dataValidations count="7">
    <dataValidation type="list" showInputMessage="1" showErrorMessage="1" sqref="H71:H82 D91:D94 G100:G103" xr:uid="{00000000-0002-0000-0000-000000000000}">
      <formula1>Yes_No</formula1>
      <formula2>0</formula2>
    </dataValidation>
    <dataValidation type="list" showInputMessage="1" showErrorMessage="1" sqref="D133:D136 F133:F136 H133:H136 J133:J136 E151:E156 B162:B165" xr:uid="{00000000-0002-0000-0000-000001000000}">
      <formula1>Weapon_Quality</formula1>
      <formula2>0</formula2>
    </dataValidation>
    <dataValidation type="list" showInputMessage="1" showErrorMessage="1" sqref="A151:A156 A162:A165" xr:uid="{00000000-0002-0000-0000-000002000000}">
      <formula1>Ship_types</formula1>
      <formula2>0</formula2>
    </dataValidation>
    <dataValidation type="list" allowBlank="1" showInputMessage="1" showErrorMessage="1" sqref="B6" xr:uid="{00000000-0002-0000-0000-000003000000}">
      <formula1>Econ_level</formula1>
      <formula2>0</formula2>
    </dataValidation>
    <dataValidation type="list" showInputMessage="1" showErrorMessage="1" sqref="D71:D87 D109:D117" xr:uid="{00000000-0002-0000-0000-000004000000}">
      <formula1>Invest_option</formula1>
      <formula2>0</formula2>
    </dataValidation>
    <dataValidation type="list" showInputMessage="1" showErrorMessage="1" sqref="B170:B173" xr:uid="{00000000-0002-0000-0000-000005000000}">
      <formula1>Mil_Buildings</formula1>
      <formula2>0</formula2>
    </dataValidation>
    <dataValidation showInputMessage="1" showErrorMessage="1" sqref="H83:H87" xr:uid="{00000000-0002-0000-0000-000006000000}">
      <formula1>0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Colonias!$B$35:$B$39</xm:f>
          </x14:formula1>
          <x14:formula2>
            <xm:f>0</xm:f>
          </x14:formula2>
          <xm:sqref>A83:A87</xm:sqref>
        </x14:dataValidation>
        <x14:dataValidation type="list" allowBlank="1" showInputMessage="1" showErrorMessage="1" xr:uid="{00000000-0002-0000-0000-000008000000}">
          <x14:formula1>
            <xm:f>Ferrocarriles!$G$5:$G$10</xm:f>
          </x14:formula1>
          <x14:formula2>
            <xm:f>0</xm:f>
          </x14:formula2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102"/>
  <sheetViews>
    <sheetView showGridLines="0" zoomScale="85" zoomScaleNormal="85" workbookViewId="0"/>
  </sheetViews>
  <sheetFormatPr defaultRowHeight="15.4" x14ac:dyDescent="0.45"/>
  <cols>
    <col min="1" max="1" width="16.53125" style="74" customWidth="1"/>
    <col min="2" max="2" width="11.86328125" style="74" customWidth="1"/>
    <col min="3" max="3" width="9.86328125" style="74" customWidth="1"/>
    <col min="4" max="5" width="9.1328125" style="74" customWidth="1"/>
    <col min="6" max="6" width="10.6640625" style="74" customWidth="1"/>
    <col min="7" max="7" width="12.3984375" style="74" customWidth="1"/>
    <col min="8" max="8" width="10.53125" style="74" customWidth="1"/>
    <col min="9" max="10" width="9.1328125" style="74" customWidth="1"/>
    <col min="11" max="11" width="11.6640625" style="74" customWidth="1"/>
    <col min="12" max="12" width="10.6640625" style="74" customWidth="1"/>
    <col min="13" max="13" width="13" style="74" customWidth="1"/>
    <col min="14" max="14" width="10.53125" style="74" customWidth="1"/>
    <col min="15" max="15" width="9.1328125" style="74" customWidth="1"/>
    <col min="16" max="16" width="10" style="74" customWidth="1"/>
    <col min="17" max="1025" width="9.1328125" style="74" customWidth="1"/>
  </cols>
  <sheetData>
    <row r="2" spans="1:20" x14ac:dyDescent="0.45">
      <c r="A2" s="178" t="s">
        <v>140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</row>
    <row r="5" spans="1:20" x14ac:dyDescent="0.45">
      <c r="A5" s="75" t="s">
        <v>141</v>
      </c>
    </row>
    <row r="6" spans="1:20" ht="15.75" customHeight="1" x14ac:dyDescent="0.45">
      <c r="A6" s="76"/>
      <c r="B6" s="179" t="s">
        <v>121</v>
      </c>
      <c r="C6" s="179" t="s">
        <v>112</v>
      </c>
      <c r="D6" s="179" t="s">
        <v>142</v>
      </c>
      <c r="E6" s="179" t="s">
        <v>112</v>
      </c>
      <c r="F6" s="179" t="s">
        <v>113</v>
      </c>
      <c r="G6" s="179" t="s">
        <v>112</v>
      </c>
      <c r="H6" s="179" t="s">
        <v>114</v>
      </c>
      <c r="I6" s="179" t="s">
        <v>112</v>
      </c>
      <c r="J6" s="179" t="s">
        <v>115</v>
      </c>
      <c r="K6" s="180" t="s">
        <v>112</v>
      </c>
      <c r="N6" s="181" t="s">
        <v>143</v>
      </c>
      <c r="O6" s="181"/>
      <c r="P6" s="181"/>
    </row>
    <row r="7" spans="1:20" x14ac:dyDescent="0.45">
      <c r="A7" s="78" t="s">
        <v>135</v>
      </c>
      <c r="B7" s="179"/>
      <c r="C7" s="179"/>
      <c r="D7" s="179"/>
      <c r="E7" s="179"/>
      <c r="F7" s="179"/>
      <c r="G7" s="179"/>
      <c r="H7" s="179"/>
      <c r="I7" s="179"/>
      <c r="J7" s="179"/>
      <c r="K7" s="180"/>
      <c r="N7" s="79"/>
      <c r="O7" s="77" t="s">
        <v>73</v>
      </c>
      <c r="P7" s="77" t="s">
        <v>144</v>
      </c>
    </row>
    <row r="8" spans="1:20" x14ac:dyDescent="0.45">
      <c r="A8" s="77" t="s">
        <v>145</v>
      </c>
      <c r="B8" s="77">
        <v>9</v>
      </c>
      <c r="C8" s="77" t="s">
        <v>146</v>
      </c>
      <c r="D8" s="77">
        <v>8</v>
      </c>
      <c r="E8" s="77" t="s">
        <v>146</v>
      </c>
      <c r="F8" s="77">
        <v>4</v>
      </c>
      <c r="G8" s="77" t="s">
        <v>146</v>
      </c>
      <c r="H8" s="77">
        <v>2</v>
      </c>
      <c r="I8" s="77" t="s">
        <v>146</v>
      </c>
      <c r="J8" s="77" t="s">
        <v>1</v>
      </c>
      <c r="K8" s="77"/>
      <c r="N8" s="77" t="s">
        <v>147</v>
      </c>
      <c r="O8" s="79"/>
      <c r="P8" s="80">
        <f>B37/1000000</f>
        <v>5.0999999999999996</v>
      </c>
    </row>
    <row r="9" spans="1:20" x14ac:dyDescent="0.45">
      <c r="A9" s="77" t="s">
        <v>145</v>
      </c>
      <c r="B9" s="77"/>
      <c r="C9" s="77"/>
      <c r="D9" s="77">
        <v>5</v>
      </c>
      <c r="E9" s="77" t="s">
        <v>148</v>
      </c>
      <c r="F9" s="77"/>
      <c r="G9" s="77"/>
      <c r="H9" s="77">
        <v>3</v>
      </c>
      <c r="I9" s="77" t="s">
        <v>148</v>
      </c>
      <c r="J9" s="77">
        <v>2</v>
      </c>
      <c r="K9" s="77" t="s">
        <v>148</v>
      </c>
      <c r="N9" s="77" t="s">
        <v>107</v>
      </c>
      <c r="O9" s="81">
        <f>B65</f>
        <v>26</v>
      </c>
      <c r="P9" s="77">
        <f>B66</f>
        <v>0.51</v>
      </c>
    </row>
    <row r="10" spans="1:20" x14ac:dyDescent="0.45">
      <c r="A10" s="77" t="s">
        <v>149</v>
      </c>
      <c r="B10" s="77">
        <v>1</v>
      </c>
      <c r="C10" s="77" t="s">
        <v>146</v>
      </c>
      <c r="D10" s="77"/>
      <c r="E10" s="77"/>
      <c r="F10" s="77"/>
      <c r="G10" s="77"/>
      <c r="H10" s="77"/>
      <c r="I10" s="77"/>
      <c r="J10" s="77"/>
      <c r="K10" s="77"/>
      <c r="N10" s="79"/>
      <c r="O10" s="82"/>
      <c r="P10" s="79"/>
    </row>
    <row r="11" spans="1:20" x14ac:dyDescent="0.45">
      <c r="A11" s="77" t="s">
        <v>150</v>
      </c>
      <c r="B11" s="77">
        <v>1</v>
      </c>
      <c r="C11" s="77" t="s">
        <v>146</v>
      </c>
      <c r="D11" s="77"/>
      <c r="E11" s="77"/>
      <c r="F11" s="77"/>
      <c r="G11" s="77"/>
      <c r="H11" s="77"/>
      <c r="I11" s="77"/>
      <c r="J11" s="77"/>
      <c r="K11" s="77"/>
      <c r="N11" s="77" t="s">
        <v>151</v>
      </c>
      <c r="O11" s="81">
        <f>B99</f>
        <v>34</v>
      </c>
      <c r="P11" s="79"/>
    </row>
    <row r="12" spans="1:20" x14ac:dyDescent="0.45">
      <c r="A12" s="77" t="s">
        <v>152</v>
      </c>
      <c r="B12" s="77">
        <v>1</v>
      </c>
      <c r="C12" s="77" t="s">
        <v>146</v>
      </c>
      <c r="D12" s="77"/>
      <c r="E12" s="77"/>
      <c r="F12" s="77"/>
      <c r="G12" s="77"/>
      <c r="H12" s="77"/>
      <c r="I12" s="77"/>
      <c r="J12" s="77"/>
      <c r="K12" s="77"/>
      <c r="N12" s="77" t="s">
        <v>153</v>
      </c>
      <c r="O12" s="81">
        <f>SUM(O9:O11)</f>
        <v>60</v>
      </c>
      <c r="P12" s="80">
        <f>P8+P9</f>
        <v>5.6099999999999994</v>
      </c>
    </row>
    <row r="13" spans="1:20" x14ac:dyDescent="0.4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83"/>
      <c r="N13" s="84"/>
      <c r="O13" s="85"/>
      <c r="P13" s="86"/>
    </row>
    <row r="14" spans="1:20" x14ac:dyDescent="0.4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83"/>
      <c r="N14" s="84"/>
      <c r="O14" s="85"/>
      <c r="P14" s="86"/>
    </row>
    <row r="15" spans="1:20" x14ac:dyDescent="0.4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N15" s="84"/>
      <c r="O15" s="85"/>
      <c r="P15" s="86"/>
    </row>
    <row r="16" spans="1:20" x14ac:dyDescent="0.4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N16" s="84"/>
      <c r="O16" s="85"/>
      <c r="P16" s="86"/>
    </row>
    <row r="17" spans="1:18" x14ac:dyDescent="0.4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N17" s="84"/>
      <c r="O17" s="85"/>
      <c r="P17" s="86"/>
    </row>
    <row r="18" spans="1:18" x14ac:dyDescent="0.4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N18" s="84"/>
      <c r="O18" s="85"/>
      <c r="P18" s="86"/>
    </row>
    <row r="19" spans="1:18" x14ac:dyDescent="0.4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N19" s="84"/>
      <c r="O19" s="85"/>
      <c r="P19" s="86"/>
    </row>
    <row r="20" spans="1:18" x14ac:dyDescent="0.4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N20" s="84"/>
      <c r="O20" s="85"/>
      <c r="P20" s="86"/>
    </row>
    <row r="21" spans="1:18" x14ac:dyDescent="0.4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N21" s="84"/>
      <c r="O21" s="85"/>
      <c r="P21" s="86"/>
    </row>
    <row r="22" spans="1:18" x14ac:dyDescent="0.4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N22" s="84"/>
      <c r="O22" s="85"/>
      <c r="P22" s="86"/>
    </row>
    <row r="23" spans="1:18" x14ac:dyDescent="0.4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N23" s="84"/>
      <c r="O23" s="85"/>
      <c r="P23" s="86"/>
    </row>
    <row r="24" spans="1:18" x14ac:dyDescent="0.4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83"/>
      <c r="N24" s="84"/>
      <c r="O24" s="85"/>
      <c r="P24" s="86"/>
    </row>
    <row r="25" spans="1:18" x14ac:dyDescent="0.45">
      <c r="A25" s="77" t="s">
        <v>87</v>
      </c>
      <c r="B25" s="77">
        <f>SUM(B8:B24)</f>
        <v>12</v>
      </c>
      <c r="C25" s="79"/>
      <c r="D25" s="77">
        <f>SUM(D8:D24)</f>
        <v>13</v>
      </c>
      <c r="E25" s="79"/>
      <c r="F25" s="77">
        <f>SUM(F8:F24)</f>
        <v>4</v>
      </c>
      <c r="G25" s="79"/>
      <c r="H25" s="77">
        <f>SUM(H8:H24)</f>
        <v>5</v>
      </c>
      <c r="I25" s="79"/>
      <c r="J25" s="77">
        <f>SUM(J8:J24)</f>
        <v>2</v>
      </c>
      <c r="K25" s="79"/>
    </row>
    <row r="28" spans="1:18" x14ac:dyDescent="0.45">
      <c r="A28" s="87" t="s">
        <v>154</v>
      </c>
      <c r="B28" s="77" t="s">
        <v>155</v>
      </c>
      <c r="C28" s="88"/>
      <c r="D28" s="89"/>
      <c r="E28" s="90"/>
      <c r="F28" s="91" t="s">
        <v>156</v>
      </c>
      <c r="G28" s="81">
        <f>B25+D25+H25+J25</f>
        <v>32</v>
      </c>
      <c r="I28" s="87" t="s">
        <v>59</v>
      </c>
      <c r="J28" s="92">
        <f>Econ!G202</f>
        <v>122.36000000000001</v>
      </c>
    </row>
    <row r="29" spans="1:18" x14ac:dyDescent="0.45">
      <c r="A29" s="77" t="s">
        <v>157</v>
      </c>
      <c r="B29" s="77" t="s">
        <v>79</v>
      </c>
    </row>
    <row r="30" spans="1:18" x14ac:dyDescent="0.45">
      <c r="A30" s="93" t="s">
        <v>158</v>
      </c>
      <c r="B30" s="94" t="s">
        <v>159</v>
      </c>
      <c r="E30" s="181" t="s">
        <v>160</v>
      </c>
      <c r="F30" s="181"/>
      <c r="G30" s="181"/>
      <c r="H30" s="181"/>
      <c r="I30" s="181"/>
      <c r="J30" s="181"/>
      <c r="K30" s="181"/>
    </row>
    <row r="31" spans="1:18" x14ac:dyDescent="0.45">
      <c r="A31" s="83"/>
      <c r="B31" s="83"/>
      <c r="C31" s="83"/>
      <c r="E31" s="181" t="s">
        <v>3</v>
      </c>
      <c r="F31" s="181"/>
      <c r="G31" s="181"/>
      <c r="H31" s="77" t="s">
        <v>73</v>
      </c>
      <c r="I31" s="181" t="s">
        <v>161</v>
      </c>
      <c r="J31" s="181"/>
      <c r="K31" s="181"/>
    </row>
    <row r="32" spans="1:18" x14ac:dyDescent="0.45">
      <c r="A32" s="83"/>
      <c r="B32" s="83"/>
      <c r="C32" s="83"/>
      <c r="E32" s="182"/>
      <c r="F32" s="182"/>
      <c r="G32" s="182"/>
      <c r="H32" s="95"/>
      <c r="I32" s="182"/>
      <c r="J32" s="182"/>
      <c r="K32" s="182"/>
      <c r="R32" s="83"/>
    </row>
    <row r="33" spans="1:16" x14ac:dyDescent="0.45">
      <c r="A33" s="83"/>
      <c r="E33" s="182"/>
      <c r="F33" s="182"/>
      <c r="G33" s="182"/>
      <c r="H33" s="95"/>
      <c r="I33" s="182"/>
      <c r="J33" s="182"/>
      <c r="K33" s="182"/>
    </row>
    <row r="34" spans="1:16" x14ac:dyDescent="0.45">
      <c r="A34" s="87" t="s">
        <v>1</v>
      </c>
      <c r="B34" s="87" t="s">
        <v>125</v>
      </c>
      <c r="C34" s="74" t="s">
        <v>1</v>
      </c>
      <c r="E34" s="182"/>
      <c r="F34" s="182"/>
      <c r="G34" s="182"/>
      <c r="H34" s="95"/>
      <c r="I34" s="182"/>
      <c r="J34" s="182"/>
      <c r="K34" s="182"/>
    </row>
    <row r="35" spans="1:16" x14ac:dyDescent="0.45">
      <c r="A35" s="87" t="s">
        <v>162</v>
      </c>
      <c r="B35" s="96">
        <f>(B25+H25+J25)*200000</f>
        <v>3800000</v>
      </c>
      <c r="E35" s="182"/>
      <c r="F35" s="182"/>
      <c r="G35" s="182"/>
      <c r="H35" s="95"/>
      <c r="I35" s="182"/>
      <c r="J35" s="182"/>
      <c r="K35" s="182"/>
    </row>
    <row r="36" spans="1:16" x14ac:dyDescent="0.45">
      <c r="A36" s="87" t="s">
        <v>163</v>
      </c>
      <c r="B36" s="96">
        <f>D25*100000</f>
        <v>1300000</v>
      </c>
      <c r="E36" s="74" t="s">
        <v>1</v>
      </c>
      <c r="F36" s="74" t="s">
        <v>1</v>
      </c>
      <c r="G36" s="77" t="s">
        <v>87</v>
      </c>
      <c r="H36" s="81">
        <f>SUM(H32:H35)</f>
        <v>0</v>
      </c>
    </row>
    <row r="37" spans="1:16" x14ac:dyDescent="0.45">
      <c r="A37" s="87" t="s">
        <v>17</v>
      </c>
      <c r="B37" s="96">
        <f>SUM(B35:B36)</f>
        <v>5100000</v>
      </c>
    </row>
    <row r="39" spans="1:16" x14ac:dyDescent="0.45">
      <c r="G39" s="181" t="s">
        <v>164</v>
      </c>
      <c r="H39" s="181"/>
      <c r="I39" s="181"/>
      <c r="J39" s="181"/>
    </row>
    <row r="40" spans="1:16" x14ac:dyDescent="0.45">
      <c r="G40" s="77" t="s">
        <v>165</v>
      </c>
      <c r="H40" s="77" t="s">
        <v>114</v>
      </c>
      <c r="I40" s="77" t="s">
        <v>115</v>
      </c>
      <c r="J40" s="77" t="s">
        <v>113</v>
      </c>
    </row>
    <row r="41" spans="1:16" x14ac:dyDescent="0.45">
      <c r="F41" s="97" t="s">
        <v>166</v>
      </c>
      <c r="G41" s="98">
        <v>4</v>
      </c>
      <c r="H41" s="98">
        <v>8</v>
      </c>
      <c r="I41" s="98">
        <v>16</v>
      </c>
      <c r="J41" s="98">
        <v>1</v>
      </c>
    </row>
    <row r="42" spans="1:16" x14ac:dyDescent="0.45">
      <c r="F42" s="97" t="s">
        <v>167</v>
      </c>
      <c r="G42" s="98">
        <v>8</v>
      </c>
      <c r="H42" s="98">
        <v>16</v>
      </c>
      <c r="I42" s="98">
        <v>32</v>
      </c>
      <c r="J42" s="98">
        <v>2</v>
      </c>
    </row>
    <row r="43" spans="1:16" x14ac:dyDescent="0.45">
      <c r="F43" s="97" t="s">
        <v>168</v>
      </c>
      <c r="G43" s="98">
        <v>16</v>
      </c>
      <c r="H43" s="98">
        <v>32</v>
      </c>
      <c r="I43" s="98">
        <v>48</v>
      </c>
      <c r="J43" s="98">
        <v>4</v>
      </c>
    </row>
    <row r="47" spans="1:16" x14ac:dyDescent="0.45">
      <c r="A47" s="99" t="s">
        <v>169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1:16" ht="16.149999999999999" customHeight="1" x14ac:dyDescent="0.45">
      <c r="A48" s="183" t="s">
        <v>135</v>
      </c>
      <c r="B48" s="184" t="s">
        <v>170</v>
      </c>
      <c r="C48" s="184" t="s">
        <v>112</v>
      </c>
      <c r="D48" s="184" t="s">
        <v>171</v>
      </c>
      <c r="E48" s="184" t="s">
        <v>112</v>
      </c>
      <c r="F48" s="184" t="s">
        <v>172</v>
      </c>
      <c r="G48" s="184" t="s">
        <v>112</v>
      </c>
      <c r="H48" s="184" t="s">
        <v>173</v>
      </c>
      <c r="I48" s="184" t="s">
        <v>112</v>
      </c>
      <c r="J48" s="184" t="s">
        <v>174</v>
      </c>
      <c r="K48" s="184" t="s">
        <v>112</v>
      </c>
      <c r="L48" s="184" t="s">
        <v>175</v>
      </c>
    </row>
    <row r="49" spans="1:13" x14ac:dyDescent="0.45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</row>
    <row r="50" spans="1:13" s="106" customFormat="1" x14ac:dyDescent="0.45">
      <c r="A50" s="101" t="s">
        <v>176</v>
      </c>
      <c r="B50" s="102">
        <v>2</v>
      </c>
      <c r="C50" s="103" t="s">
        <v>146</v>
      </c>
      <c r="D50" s="102">
        <v>9</v>
      </c>
      <c r="E50" s="103" t="s">
        <v>146</v>
      </c>
      <c r="F50" s="104">
        <v>10</v>
      </c>
      <c r="G50" s="105" t="s">
        <v>177</v>
      </c>
      <c r="H50" s="102">
        <v>12</v>
      </c>
      <c r="I50" s="103" t="s">
        <v>146</v>
      </c>
      <c r="J50" s="102">
        <v>5</v>
      </c>
      <c r="K50" s="103" t="s">
        <v>146</v>
      </c>
      <c r="L50" s="101">
        <v>2</v>
      </c>
    </row>
    <row r="51" spans="1:13" x14ac:dyDescent="0.45">
      <c r="A51" s="87" t="s">
        <v>150</v>
      </c>
      <c r="B51" s="107" t="s">
        <v>1</v>
      </c>
      <c r="C51" s="108" t="s">
        <v>178</v>
      </c>
      <c r="D51" s="107">
        <v>3</v>
      </c>
      <c r="E51" s="108" t="s">
        <v>146</v>
      </c>
      <c r="F51" s="107">
        <v>1</v>
      </c>
      <c r="G51" s="108" t="s">
        <v>177</v>
      </c>
      <c r="H51" s="107">
        <v>5</v>
      </c>
      <c r="I51" s="108" t="s">
        <v>146</v>
      </c>
      <c r="J51" s="107">
        <v>2</v>
      </c>
      <c r="K51" s="108" t="s">
        <v>146</v>
      </c>
      <c r="L51" s="87" t="s">
        <v>1</v>
      </c>
    </row>
    <row r="52" spans="1:13" x14ac:dyDescent="0.45">
      <c r="A52" s="87" t="s">
        <v>278</v>
      </c>
      <c r="B52" s="107"/>
      <c r="C52" s="108"/>
      <c r="D52" s="107"/>
      <c r="E52" s="108"/>
      <c r="F52" s="107">
        <v>10</v>
      </c>
      <c r="G52" s="108" t="s">
        <v>177</v>
      </c>
      <c r="H52" s="107"/>
      <c r="I52" s="108"/>
      <c r="J52" s="107"/>
      <c r="K52" s="108"/>
      <c r="L52" s="87"/>
      <c r="M52" s="83"/>
    </row>
    <row r="53" spans="1:13" x14ac:dyDescent="0.45">
      <c r="A53" s="87"/>
      <c r="B53" s="107"/>
      <c r="C53" s="108"/>
      <c r="D53" s="107"/>
      <c r="E53" s="108"/>
      <c r="F53" s="107"/>
      <c r="G53" s="108"/>
      <c r="H53" s="107"/>
      <c r="I53" s="108"/>
      <c r="J53" s="107"/>
      <c r="K53" s="108"/>
      <c r="L53" s="87"/>
    </row>
    <row r="54" spans="1:13" x14ac:dyDescent="0.45">
      <c r="A54" s="87"/>
      <c r="B54" s="107"/>
      <c r="C54" s="108"/>
      <c r="D54" s="107"/>
      <c r="E54" s="108"/>
      <c r="F54" s="107"/>
      <c r="G54" s="108"/>
      <c r="H54" s="107"/>
      <c r="I54" s="108"/>
      <c r="J54" s="107"/>
      <c r="K54" s="108"/>
      <c r="L54" s="87"/>
    </row>
    <row r="55" spans="1:13" x14ac:dyDescent="0.45">
      <c r="A55" s="87"/>
      <c r="B55" s="107"/>
      <c r="C55" s="108"/>
      <c r="D55" s="107"/>
      <c r="E55" s="108"/>
      <c r="F55" s="107"/>
      <c r="G55" s="108"/>
      <c r="H55" s="107"/>
      <c r="I55" s="108"/>
      <c r="J55" s="107"/>
      <c r="K55" s="108"/>
      <c r="L55" s="87"/>
    </row>
    <row r="56" spans="1:13" x14ac:dyDescent="0.45">
      <c r="A56" s="87"/>
      <c r="B56" s="107"/>
      <c r="C56" s="108"/>
      <c r="D56" s="107"/>
      <c r="E56" s="108"/>
      <c r="F56" s="107"/>
      <c r="G56" s="108"/>
      <c r="H56" s="107"/>
      <c r="I56" s="108"/>
      <c r="J56" s="107"/>
      <c r="K56" s="108"/>
      <c r="L56" s="87"/>
    </row>
    <row r="57" spans="1:13" s="106" customFormat="1" x14ac:dyDescent="0.45">
      <c r="A57" s="101"/>
      <c r="B57" s="102"/>
      <c r="C57" s="103"/>
      <c r="D57" s="102"/>
      <c r="E57" s="103"/>
      <c r="F57" s="102"/>
      <c r="G57" s="103"/>
      <c r="H57" s="102"/>
      <c r="I57" s="103"/>
      <c r="J57" s="102"/>
      <c r="K57" s="103"/>
      <c r="L57" s="101"/>
    </row>
    <row r="58" spans="1:13" x14ac:dyDescent="0.45">
      <c r="A58" s="87"/>
      <c r="B58" s="107"/>
      <c r="C58" s="108"/>
      <c r="D58" s="107"/>
      <c r="E58" s="108"/>
      <c r="F58" s="107"/>
      <c r="G58" s="108"/>
      <c r="H58" s="107"/>
      <c r="I58" s="108"/>
      <c r="J58" s="107"/>
      <c r="K58" s="108"/>
      <c r="L58" s="87"/>
    </row>
    <row r="59" spans="1:13" x14ac:dyDescent="0.45">
      <c r="A59" s="87" t="s">
        <v>90</v>
      </c>
      <c r="B59" s="87">
        <f>SUM(B50:B58)</f>
        <v>2</v>
      </c>
      <c r="C59" s="84"/>
      <c r="D59" s="87">
        <f>SUM(D50:D58)</f>
        <v>12</v>
      </c>
      <c r="E59" s="84"/>
      <c r="F59" s="87">
        <f>SUM(F50:F58)</f>
        <v>21</v>
      </c>
      <c r="G59" s="84"/>
      <c r="H59" s="87">
        <f>SUM(H50:H58)</f>
        <v>17</v>
      </c>
      <c r="I59" s="84"/>
      <c r="J59" s="87">
        <f>SUM(J50:J58)</f>
        <v>7</v>
      </c>
      <c r="K59" s="84"/>
      <c r="L59" s="87">
        <f>SUM(L50:L58)</f>
        <v>2</v>
      </c>
    </row>
    <row r="63" spans="1:13" x14ac:dyDescent="0.45">
      <c r="A63" s="87" t="s">
        <v>154</v>
      </c>
      <c r="B63" s="77" t="s">
        <v>155</v>
      </c>
      <c r="E63" s="77"/>
      <c r="F63" s="109" t="s">
        <v>179</v>
      </c>
      <c r="G63" s="81">
        <f>B64*0.5</f>
        <v>51</v>
      </c>
    </row>
    <row r="64" spans="1:13" x14ac:dyDescent="0.45">
      <c r="A64" s="87" t="s">
        <v>180</v>
      </c>
      <c r="B64" s="87">
        <f>(B59*4)+(D59*2)+(F59*2)+(H59*1)+(J59*1)+(L59*2)</f>
        <v>102</v>
      </c>
    </row>
    <row r="65" spans="1:16" x14ac:dyDescent="0.45">
      <c r="A65" s="87" t="s">
        <v>181</v>
      </c>
      <c r="B65" s="92">
        <f>ROUNDUP((B64/20)*5,0)</f>
        <v>26</v>
      </c>
      <c r="E65" s="181" t="s">
        <v>182</v>
      </c>
      <c r="F65" s="181"/>
      <c r="G65" s="181"/>
      <c r="H65" s="181"/>
      <c r="I65" s="181"/>
      <c r="J65" s="181"/>
      <c r="K65" s="181"/>
    </row>
    <row r="66" spans="1:16" x14ac:dyDescent="0.45">
      <c r="A66" s="87" t="s">
        <v>125</v>
      </c>
      <c r="B66" s="87">
        <f>ROUNDUP((B64/20)*0.1,2)</f>
        <v>0.51</v>
      </c>
      <c r="C66" s="74" t="s">
        <v>183</v>
      </c>
      <c r="E66" s="181" t="s">
        <v>184</v>
      </c>
      <c r="F66" s="181"/>
      <c r="G66" s="181"/>
      <c r="H66" s="77" t="s">
        <v>73</v>
      </c>
      <c r="I66" s="181" t="s">
        <v>161</v>
      </c>
      <c r="J66" s="181"/>
      <c r="K66" s="181"/>
    </row>
    <row r="67" spans="1:16" ht="15" customHeight="1" x14ac:dyDescent="0.45">
      <c r="E67" s="182"/>
      <c r="F67" s="182"/>
      <c r="G67" s="182"/>
      <c r="H67" s="95"/>
      <c r="I67" s="182"/>
      <c r="J67" s="182"/>
      <c r="K67" s="182"/>
    </row>
    <row r="68" spans="1:16" ht="15" customHeight="1" x14ac:dyDescent="0.45">
      <c r="E68" s="182"/>
      <c r="F68" s="182"/>
      <c r="G68" s="182"/>
      <c r="H68" s="95"/>
      <c r="I68" s="182"/>
      <c r="J68" s="182"/>
      <c r="K68" s="182"/>
    </row>
    <row r="69" spans="1:16" ht="15" customHeight="1" x14ac:dyDescent="0.45">
      <c r="E69" s="182"/>
      <c r="F69" s="182"/>
      <c r="G69" s="182"/>
      <c r="H69" s="95"/>
      <c r="I69" s="182"/>
      <c r="J69" s="182"/>
      <c r="K69" s="182"/>
    </row>
    <row r="70" spans="1:16" x14ac:dyDescent="0.45">
      <c r="E70" s="182"/>
      <c r="F70" s="182"/>
      <c r="G70" s="182"/>
      <c r="H70" s="95"/>
      <c r="I70" s="182"/>
      <c r="J70" s="182"/>
      <c r="K70" s="182"/>
    </row>
    <row r="71" spans="1:16" x14ac:dyDescent="0.45">
      <c r="E71" s="74" t="s">
        <v>1</v>
      </c>
      <c r="F71" s="74" t="s">
        <v>1</v>
      </c>
      <c r="G71" s="77" t="s">
        <v>87</v>
      </c>
      <c r="H71" s="77">
        <f>SUM(H67:H70)</f>
        <v>0</v>
      </c>
    </row>
    <row r="72" spans="1:16" x14ac:dyDescent="0.45">
      <c r="G72" s="77" t="s">
        <v>59</v>
      </c>
      <c r="H72" s="98">
        <f>J28-H36-H71</f>
        <v>122.36000000000001</v>
      </c>
      <c r="I72" s="110"/>
    </row>
    <row r="75" spans="1:16" x14ac:dyDescent="0.45">
      <c r="A75" s="75" t="s">
        <v>185</v>
      </c>
    </row>
    <row r="76" spans="1:16" x14ac:dyDescent="0.45">
      <c r="A76" s="77" t="s">
        <v>186</v>
      </c>
      <c r="B76" s="77" t="s">
        <v>130</v>
      </c>
      <c r="C76" s="77" t="s">
        <v>73</v>
      </c>
      <c r="D76" s="185" t="s">
        <v>135</v>
      </c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</row>
    <row r="77" spans="1:16" x14ac:dyDescent="0.45">
      <c r="A77" s="77" t="s">
        <v>187</v>
      </c>
      <c r="B77" s="77">
        <v>8</v>
      </c>
      <c r="C77" s="111"/>
      <c r="D77" s="186" t="s">
        <v>188</v>
      </c>
      <c r="E77" s="186"/>
      <c r="F77" s="186"/>
      <c r="G77" s="186"/>
      <c r="H77" s="186"/>
      <c r="I77" s="186"/>
      <c r="J77" s="186"/>
      <c r="K77" s="186"/>
      <c r="L77" s="186"/>
      <c r="M77" s="186"/>
      <c r="N77" s="186"/>
      <c r="O77" s="186"/>
      <c r="P77" s="186"/>
    </row>
    <row r="78" spans="1:16" x14ac:dyDescent="0.45">
      <c r="A78" s="77" t="s">
        <v>189</v>
      </c>
      <c r="B78" s="77">
        <v>0</v>
      </c>
      <c r="C78" s="112">
        <f>B78</f>
        <v>0</v>
      </c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</row>
    <row r="79" spans="1:16" x14ac:dyDescent="0.45">
      <c r="A79" s="84"/>
      <c r="B79" s="84"/>
      <c r="C79" s="85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</row>
    <row r="80" spans="1:16" x14ac:dyDescent="0.45">
      <c r="A80" s="84"/>
      <c r="B80" s="84"/>
      <c r="C80" s="85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</row>
    <row r="81" spans="1:16" x14ac:dyDescent="0.45">
      <c r="A81" s="84"/>
      <c r="B81" s="84"/>
      <c r="C81" s="85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29.25" customHeight="1" x14ac:dyDescent="0.45">
      <c r="A82" s="84"/>
      <c r="B82" s="84"/>
      <c r="C82" s="85"/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88"/>
      <c r="O82" s="188"/>
      <c r="P82" s="188"/>
    </row>
    <row r="83" spans="1:16" x14ac:dyDescent="0.45">
      <c r="A83" s="84"/>
      <c r="B83" s="84"/>
      <c r="C83" s="85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</row>
    <row r="84" spans="1:16" x14ac:dyDescent="0.45">
      <c r="A84" s="84"/>
      <c r="B84" s="84"/>
      <c r="C84" s="85"/>
      <c r="D84" s="113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</row>
    <row r="85" spans="1:16" x14ac:dyDescent="0.45">
      <c r="A85" s="84"/>
      <c r="B85" s="84"/>
      <c r="C85" s="85"/>
      <c r="D85" s="113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</row>
    <row r="86" spans="1:16" x14ac:dyDescent="0.45">
      <c r="A86" s="77" t="s">
        <v>190</v>
      </c>
      <c r="B86" s="77" t="s">
        <v>130</v>
      </c>
      <c r="C86" s="77" t="s">
        <v>73</v>
      </c>
      <c r="D86" s="181" t="s">
        <v>135</v>
      </c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</row>
    <row r="87" spans="1:16" x14ac:dyDescent="0.45">
      <c r="A87" s="94" t="s">
        <v>187</v>
      </c>
      <c r="B87" s="94">
        <v>14</v>
      </c>
      <c r="C87" s="111"/>
      <c r="D87" s="191" t="s">
        <v>191</v>
      </c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</row>
    <row r="88" spans="1:16" x14ac:dyDescent="0.45">
      <c r="A88" s="115" t="s">
        <v>189</v>
      </c>
      <c r="B88" s="115">
        <v>0</v>
      </c>
      <c r="C88" s="116">
        <f>B88</f>
        <v>0</v>
      </c>
      <c r="D88" s="117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9"/>
    </row>
    <row r="90" spans="1:16" x14ac:dyDescent="0.45">
      <c r="A90" s="77" t="s">
        <v>192</v>
      </c>
      <c r="B90" s="77" t="s">
        <v>130</v>
      </c>
      <c r="C90" s="77" t="s">
        <v>73</v>
      </c>
      <c r="D90" s="181" t="s">
        <v>135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</row>
    <row r="91" spans="1:16" ht="15.75" customHeight="1" x14ac:dyDescent="0.45">
      <c r="A91" s="77"/>
      <c r="B91" s="77">
        <v>11</v>
      </c>
      <c r="C91" s="112">
        <f>B91*2</f>
        <v>22</v>
      </c>
      <c r="D91" s="192" t="s">
        <v>193</v>
      </c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  <c r="P91" s="192"/>
    </row>
    <row r="92" spans="1:16" ht="35.25" customHeight="1" x14ac:dyDescent="0.45"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2"/>
      <c r="O92" s="192"/>
      <c r="P92" s="192"/>
    </row>
    <row r="93" spans="1:16" x14ac:dyDescent="0.45">
      <c r="A93" s="74" t="s">
        <v>1</v>
      </c>
    </row>
    <row r="94" spans="1:16" x14ac:dyDescent="0.45">
      <c r="A94" s="77" t="s">
        <v>194</v>
      </c>
      <c r="B94" s="77" t="s">
        <v>130</v>
      </c>
      <c r="C94" s="77" t="s">
        <v>73</v>
      </c>
      <c r="D94" s="181" t="s">
        <v>135</v>
      </c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</row>
    <row r="95" spans="1:16" x14ac:dyDescent="0.45">
      <c r="A95" s="77"/>
      <c r="B95" s="77">
        <v>3</v>
      </c>
      <c r="C95" s="112">
        <f>B95*4</f>
        <v>12</v>
      </c>
      <c r="D95" s="190" t="s">
        <v>195</v>
      </c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</row>
    <row r="96" spans="1:16" x14ac:dyDescent="0.45"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</row>
    <row r="99" spans="1:17" x14ac:dyDescent="0.45">
      <c r="A99" s="89" t="s">
        <v>90</v>
      </c>
      <c r="B99" s="120">
        <f>C78+C88+C91+C95</f>
        <v>34</v>
      </c>
    </row>
    <row r="100" spans="1:17" x14ac:dyDescent="0.45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</row>
    <row r="101" spans="1:17" x14ac:dyDescent="0.45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</row>
    <row r="102" spans="1:17" x14ac:dyDescent="0.45">
      <c r="C102" s="77" t="s">
        <v>196</v>
      </c>
      <c r="D102" s="98">
        <f>H72</f>
        <v>122.36000000000001</v>
      </c>
    </row>
  </sheetData>
  <sheetProtection algorithmName="SHA-512" hashValue="LP27wbDIK1AJSJ8LNaceT29NpCvy8yje3UC6T2Wn/0Lh48mcUjRIxkDWFYhHrJ5swxCKN6ifE/kANMAQxtuBhQ==" saltValue="HPXH5z97criINPxetkYFjQ==" spinCount="100000" sheet="1" objects="1" scenarios="1"/>
  <mergeCells count="61">
    <mergeCell ref="D95:P96"/>
    <mergeCell ref="D86:P86"/>
    <mergeCell ref="D87:P87"/>
    <mergeCell ref="D90:P90"/>
    <mergeCell ref="D91:P92"/>
    <mergeCell ref="D94:P94"/>
    <mergeCell ref="D79:P79"/>
    <mergeCell ref="D80:P80"/>
    <mergeCell ref="D81:P81"/>
    <mergeCell ref="D82:P82"/>
    <mergeCell ref="D83:P83"/>
    <mergeCell ref="E70:G70"/>
    <mergeCell ref="I70:K70"/>
    <mergeCell ref="D76:P76"/>
    <mergeCell ref="D77:P77"/>
    <mergeCell ref="D78:P78"/>
    <mergeCell ref="E67:G67"/>
    <mergeCell ref="I67:K67"/>
    <mergeCell ref="E68:G68"/>
    <mergeCell ref="I68:K68"/>
    <mergeCell ref="E69:G69"/>
    <mergeCell ref="I69:K69"/>
    <mergeCell ref="K48:K49"/>
    <mergeCell ref="L48:L49"/>
    <mergeCell ref="E65:K65"/>
    <mergeCell ref="E66:G66"/>
    <mergeCell ref="I66:K66"/>
    <mergeCell ref="G39:J39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E33:G33"/>
    <mergeCell ref="I33:K33"/>
    <mergeCell ref="E34:G34"/>
    <mergeCell ref="I34:K34"/>
    <mergeCell ref="E35:G35"/>
    <mergeCell ref="I35:K35"/>
    <mergeCell ref="E30:K30"/>
    <mergeCell ref="E31:G31"/>
    <mergeCell ref="I31:K31"/>
    <mergeCell ref="E32:G32"/>
    <mergeCell ref="I32:K32"/>
    <mergeCell ref="A2:T2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N6:P6"/>
  </mergeCells>
  <dataValidations count="2">
    <dataValidation type="list" showInputMessage="1" showErrorMessage="1" sqref="E8:E24 K8:K24 C9:C11 G9:G24 I9:I24 C13:C24" xr:uid="{00000000-0002-0000-0100-000000000000}">
      <formula1>Weapon_Quality</formula1>
      <formula2>0</formula2>
    </dataValidation>
    <dataValidation type="list" showInputMessage="1" showErrorMessage="1" sqref="B29" xr:uid="{00000000-0002-0000-0100-000001000000}">
      <formula1>Yes_No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2"/>
  <sheetViews>
    <sheetView showGridLines="0" zoomScale="85" zoomScaleNormal="85" workbookViewId="0"/>
  </sheetViews>
  <sheetFormatPr defaultRowHeight="17.649999999999999" x14ac:dyDescent="0.5"/>
  <cols>
    <col min="1" max="1" width="3.9296875" style="121" customWidth="1"/>
    <col min="2" max="2" width="23.6640625" style="121" customWidth="1"/>
    <col min="3" max="3" width="14.59765625" style="121" customWidth="1"/>
    <col min="4" max="5" width="9.1328125" style="121" customWidth="1"/>
    <col min="6" max="6" width="10.6640625" style="121" customWidth="1"/>
    <col min="7" max="7" width="9" style="121" customWidth="1"/>
    <col min="8" max="1025" width="9.1328125" style="121" customWidth="1"/>
  </cols>
  <sheetData>
    <row r="1" spans="2:16" s="122" customFormat="1" x14ac:dyDescent="0.5">
      <c r="B1" s="193" t="s">
        <v>197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2:16" s="122" customFormat="1" x14ac:dyDescent="0.5"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2:16" s="122" customFormat="1" x14ac:dyDescent="0.5">
      <c r="B3" s="124" t="s">
        <v>58</v>
      </c>
      <c r="C3" s="124"/>
      <c r="D3" s="125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</row>
    <row r="4" spans="2:16" s="122" customFormat="1" x14ac:dyDescent="0.5">
      <c r="B4" s="124"/>
      <c r="C4" s="124"/>
      <c r="D4" s="125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</row>
    <row r="5" spans="2:16" s="122" customFormat="1" x14ac:dyDescent="0.5">
      <c r="B5" s="194"/>
      <c r="C5" s="195" t="s">
        <v>198</v>
      </c>
      <c r="D5" s="195"/>
      <c r="E5" s="195"/>
      <c r="F5" s="195"/>
      <c r="G5" s="195"/>
      <c r="H5" s="195"/>
      <c r="I5" s="195"/>
      <c r="K5" s="195" t="s">
        <v>199</v>
      </c>
      <c r="L5" s="195"/>
      <c r="M5" s="195"/>
      <c r="N5" s="195"/>
      <c r="O5" s="195"/>
      <c r="P5" s="195"/>
    </row>
    <row r="6" spans="2:16" s="122" customFormat="1" x14ac:dyDescent="0.5">
      <c r="B6" s="194"/>
      <c r="C6" s="126" t="s">
        <v>56</v>
      </c>
      <c r="D6" s="126" t="s">
        <v>40</v>
      </c>
      <c r="E6" s="126" t="s">
        <v>26</v>
      </c>
      <c r="F6" s="126" t="s">
        <v>27</v>
      </c>
      <c r="G6" s="126" t="s">
        <v>28</v>
      </c>
      <c r="H6" s="126" t="s">
        <v>29</v>
      </c>
      <c r="I6" s="126" t="s">
        <v>30</v>
      </c>
      <c r="K6" s="126" t="s">
        <v>40</v>
      </c>
      <c r="L6" s="126" t="s">
        <v>26</v>
      </c>
      <c r="M6" s="126" t="s">
        <v>27</v>
      </c>
      <c r="N6" s="126" t="s">
        <v>28</v>
      </c>
      <c r="O6" s="126" t="s">
        <v>29</v>
      </c>
      <c r="P6" s="126" t="s">
        <v>30</v>
      </c>
    </row>
    <row r="7" spans="2:16" s="122" customFormat="1" x14ac:dyDescent="0.5">
      <c r="B7" s="123"/>
      <c r="C7" s="127">
        <f t="shared" ref="C7:I7" si="0">SUM(C11:C30)</f>
        <v>0</v>
      </c>
      <c r="D7" s="128">
        <f t="shared" si="0"/>
        <v>0</v>
      </c>
      <c r="E7" s="128">
        <f t="shared" si="0"/>
        <v>0</v>
      </c>
      <c r="F7" s="128">
        <f t="shared" si="0"/>
        <v>0</v>
      </c>
      <c r="G7" s="128">
        <f t="shared" si="0"/>
        <v>0</v>
      </c>
      <c r="H7" s="128">
        <f t="shared" si="0"/>
        <v>0</v>
      </c>
      <c r="I7" s="128">
        <f t="shared" si="0"/>
        <v>0</v>
      </c>
      <c r="J7" s="129"/>
      <c r="K7" s="128">
        <f t="shared" ref="K7:P7" si="1">SUM(K11:K30)</f>
        <v>0</v>
      </c>
      <c r="L7" s="128">
        <f t="shared" si="1"/>
        <v>0</v>
      </c>
      <c r="M7" s="128">
        <f t="shared" si="1"/>
        <v>0</v>
      </c>
      <c r="N7" s="128">
        <f t="shared" si="1"/>
        <v>0</v>
      </c>
      <c r="O7" s="128">
        <f t="shared" si="1"/>
        <v>0</v>
      </c>
      <c r="P7" s="128">
        <f t="shared" si="1"/>
        <v>0</v>
      </c>
    </row>
    <row r="8" spans="2:16" s="122" customFormat="1" x14ac:dyDescent="0.5">
      <c r="B8" s="121"/>
      <c r="C8" s="130"/>
      <c r="D8" s="130"/>
      <c r="E8" s="130"/>
      <c r="F8" s="130"/>
      <c r="G8" s="130"/>
      <c r="H8" s="130"/>
      <c r="I8" s="130"/>
      <c r="J8" s="121"/>
      <c r="K8" s="130"/>
      <c r="L8" s="130"/>
      <c r="M8" s="130"/>
      <c r="N8" s="130"/>
      <c r="O8" s="130"/>
      <c r="P8" s="130"/>
    </row>
    <row r="9" spans="2:16" s="122" customFormat="1" x14ac:dyDescent="0.5">
      <c r="C9" s="195" t="s">
        <v>200</v>
      </c>
      <c r="D9" s="195"/>
      <c r="E9" s="195"/>
      <c r="F9" s="195"/>
      <c r="G9" s="195"/>
      <c r="H9" s="195"/>
      <c r="I9" s="126"/>
      <c r="K9" s="195" t="s">
        <v>201</v>
      </c>
      <c r="L9" s="195"/>
      <c r="M9" s="195"/>
      <c r="N9" s="195"/>
      <c r="O9" s="195"/>
      <c r="P9" s="195"/>
    </row>
    <row r="10" spans="2:16" s="122" customFormat="1" x14ac:dyDescent="0.5">
      <c r="C10" s="126" t="s">
        <v>56</v>
      </c>
      <c r="D10" s="126" t="s">
        <v>202</v>
      </c>
      <c r="E10" s="126" t="s">
        <v>203</v>
      </c>
      <c r="F10" s="126" t="s">
        <v>204</v>
      </c>
      <c r="G10" s="126" t="s">
        <v>205</v>
      </c>
      <c r="H10" s="126" t="s">
        <v>206</v>
      </c>
      <c r="I10" s="126" t="s">
        <v>207</v>
      </c>
      <c r="K10" s="126" t="s">
        <v>202</v>
      </c>
      <c r="L10" s="126" t="s">
        <v>203</v>
      </c>
      <c r="M10" s="126" t="s">
        <v>204</v>
      </c>
      <c r="N10" s="126" t="s">
        <v>205</v>
      </c>
      <c r="O10" s="126" t="s">
        <v>206</v>
      </c>
      <c r="P10" s="126" t="s">
        <v>207</v>
      </c>
    </row>
    <row r="11" spans="2:16" s="122" customFormat="1" x14ac:dyDescent="0.5">
      <c r="C11" s="131"/>
      <c r="D11" s="126"/>
      <c r="E11" s="126"/>
      <c r="F11" s="126"/>
      <c r="G11" s="126"/>
      <c r="H11" s="126"/>
      <c r="I11" s="126"/>
      <c r="J11" s="122" t="s">
        <v>1</v>
      </c>
      <c r="K11" s="126"/>
      <c r="L11" s="126"/>
      <c r="M11" s="126"/>
      <c r="N11" s="126"/>
      <c r="O11" s="126"/>
      <c r="P11" s="126"/>
    </row>
    <row r="12" spans="2:16" s="122" customFormat="1" x14ac:dyDescent="0.5">
      <c r="C12" s="131"/>
      <c r="D12" s="126"/>
      <c r="E12" s="126"/>
      <c r="F12" s="126"/>
      <c r="G12" s="126"/>
      <c r="H12" s="126"/>
      <c r="I12" s="126"/>
      <c r="J12" s="122" t="s">
        <v>1</v>
      </c>
      <c r="K12" s="126"/>
      <c r="L12" s="126"/>
      <c r="M12" s="126"/>
      <c r="N12" s="126"/>
      <c r="O12" s="126"/>
      <c r="P12" s="126"/>
    </row>
    <row r="13" spans="2:16" s="122" customFormat="1" x14ac:dyDescent="0.5">
      <c r="C13" s="131"/>
      <c r="D13" s="126"/>
      <c r="E13" s="126"/>
      <c r="F13" s="126"/>
      <c r="G13" s="126"/>
      <c r="H13" s="126"/>
      <c r="I13" s="126"/>
      <c r="J13" s="122" t="s">
        <v>1</v>
      </c>
      <c r="K13" s="126"/>
      <c r="L13" s="126"/>
      <c r="M13" s="126"/>
      <c r="N13" s="126"/>
      <c r="O13" s="126"/>
      <c r="P13" s="126"/>
    </row>
    <row r="14" spans="2:16" s="122" customFormat="1" x14ac:dyDescent="0.5">
      <c r="C14" s="131"/>
      <c r="D14" s="126"/>
      <c r="E14" s="126"/>
      <c r="F14" s="126"/>
      <c r="G14" s="126"/>
      <c r="H14" s="126"/>
      <c r="I14" s="126"/>
      <c r="J14" s="122" t="s">
        <v>1</v>
      </c>
      <c r="K14" s="126"/>
      <c r="L14" s="126"/>
      <c r="M14" s="126"/>
      <c r="N14" s="126"/>
      <c r="O14" s="126"/>
      <c r="P14" s="126"/>
    </row>
    <row r="15" spans="2:16" s="122" customFormat="1" x14ac:dyDescent="0.5">
      <c r="C15" s="131"/>
      <c r="D15" s="126"/>
      <c r="E15" s="126"/>
      <c r="F15" s="126"/>
      <c r="G15" s="126"/>
      <c r="H15" s="126"/>
      <c r="I15" s="126"/>
      <c r="J15" s="122" t="s">
        <v>1</v>
      </c>
      <c r="K15" s="126"/>
      <c r="L15" s="126"/>
      <c r="M15" s="126"/>
      <c r="N15" s="126"/>
      <c r="O15" s="126"/>
      <c r="P15" s="126"/>
    </row>
    <row r="16" spans="2:16" s="122" customFormat="1" x14ac:dyDescent="0.5">
      <c r="C16" s="131"/>
      <c r="D16" s="126"/>
      <c r="E16" s="126"/>
      <c r="F16" s="126"/>
      <c r="G16" s="126"/>
      <c r="H16" s="126"/>
      <c r="I16" s="126"/>
      <c r="J16" s="122" t="s">
        <v>1</v>
      </c>
      <c r="K16" s="126"/>
      <c r="L16" s="126"/>
      <c r="M16" s="126"/>
      <c r="N16" s="126"/>
      <c r="O16" s="126"/>
      <c r="P16" s="126"/>
    </row>
    <row r="17" spans="3:16" s="122" customFormat="1" x14ac:dyDescent="0.5">
      <c r="C17" s="131"/>
      <c r="D17" s="126"/>
      <c r="E17" s="126"/>
      <c r="F17" s="126"/>
      <c r="G17" s="126"/>
      <c r="H17" s="126"/>
      <c r="I17" s="126"/>
      <c r="J17" s="122" t="s">
        <v>1</v>
      </c>
      <c r="K17" s="126"/>
      <c r="L17" s="126"/>
      <c r="M17" s="126"/>
      <c r="N17" s="126"/>
      <c r="O17" s="126"/>
      <c r="P17" s="126"/>
    </row>
    <row r="18" spans="3:16" s="122" customFormat="1" x14ac:dyDescent="0.5">
      <c r="C18" s="131"/>
      <c r="D18" s="126"/>
      <c r="E18" s="126"/>
      <c r="F18" s="126"/>
      <c r="G18" s="126"/>
      <c r="H18" s="126"/>
      <c r="I18" s="126"/>
      <c r="K18" s="126"/>
      <c r="L18" s="126"/>
      <c r="M18" s="126"/>
      <c r="N18" s="126"/>
      <c r="O18" s="126"/>
      <c r="P18" s="126"/>
    </row>
    <row r="19" spans="3:16" s="122" customFormat="1" x14ac:dyDescent="0.5">
      <c r="C19" s="131"/>
      <c r="D19" s="126"/>
      <c r="E19" s="126"/>
      <c r="F19" s="126"/>
      <c r="G19" s="126"/>
      <c r="H19" s="126"/>
      <c r="I19" s="126"/>
      <c r="K19" s="126"/>
      <c r="L19" s="126"/>
      <c r="M19" s="126"/>
      <c r="N19" s="126"/>
      <c r="O19" s="126"/>
      <c r="P19" s="126"/>
    </row>
    <row r="20" spans="3:16" s="122" customFormat="1" x14ac:dyDescent="0.5">
      <c r="C20" s="131"/>
      <c r="D20" s="126"/>
      <c r="E20" s="126"/>
      <c r="F20" s="126"/>
      <c r="G20" s="126"/>
      <c r="H20" s="126"/>
      <c r="I20" s="126"/>
      <c r="K20" s="126"/>
      <c r="L20" s="126"/>
      <c r="M20" s="126"/>
      <c r="N20" s="126"/>
      <c r="O20" s="126"/>
      <c r="P20" s="126"/>
    </row>
    <row r="21" spans="3:16" s="122" customFormat="1" x14ac:dyDescent="0.5">
      <c r="C21" s="131"/>
      <c r="D21" s="126"/>
      <c r="E21" s="126"/>
      <c r="F21" s="126"/>
      <c r="G21" s="126"/>
      <c r="H21" s="126"/>
      <c r="I21" s="126"/>
      <c r="K21" s="126"/>
      <c r="L21" s="126"/>
      <c r="M21" s="126"/>
      <c r="N21" s="126"/>
      <c r="O21" s="126"/>
      <c r="P21" s="126"/>
    </row>
    <row r="22" spans="3:16" s="122" customFormat="1" x14ac:dyDescent="0.5">
      <c r="C22" s="131"/>
      <c r="D22" s="126"/>
      <c r="E22" s="126"/>
      <c r="F22" s="126"/>
      <c r="G22" s="126"/>
      <c r="H22" s="126"/>
      <c r="I22" s="126"/>
      <c r="K22" s="126"/>
      <c r="L22" s="126"/>
      <c r="M22" s="126"/>
      <c r="N22" s="126"/>
      <c r="O22" s="126"/>
      <c r="P22" s="126"/>
    </row>
    <row r="23" spans="3:16" s="122" customFormat="1" x14ac:dyDescent="0.5">
      <c r="C23" s="131"/>
      <c r="D23" s="126"/>
      <c r="E23" s="126"/>
      <c r="F23" s="126"/>
      <c r="G23" s="126"/>
      <c r="H23" s="126"/>
      <c r="I23" s="126"/>
      <c r="K23" s="126"/>
      <c r="L23" s="126"/>
      <c r="M23" s="126"/>
      <c r="N23" s="126"/>
      <c r="O23" s="126"/>
      <c r="P23" s="126"/>
    </row>
    <row r="24" spans="3:16" s="122" customFormat="1" x14ac:dyDescent="0.5">
      <c r="C24" s="131"/>
      <c r="D24" s="126"/>
      <c r="E24" s="126"/>
      <c r="F24" s="126"/>
      <c r="G24" s="126"/>
      <c r="H24" s="126"/>
      <c r="I24" s="126"/>
      <c r="K24" s="126"/>
      <c r="L24" s="126"/>
      <c r="M24" s="126"/>
      <c r="N24" s="126"/>
      <c r="O24" s="126"/>
      <c r="P24" s="126"/>
    </row>
    <row r="25" spans="3:16" s="122" customFormat="1" x14ac:dyDescent="0.5">
      <c r="C25" s="131"/>
      <c r="D25" s="126"/>
      <c r="E25" s="126"/>
      <c r="F25" s="126"/>
      <c r="G25" s="126"/>
      <c r="H25" s="126"/>
      <c r="I25" s="126"/>
      <c r="K25" s="126"/>
      <c r="L25" s="126"/>
      <c r="M25" s="126"/>
      <c r="N25" s="126"/>
      <c r="O25" s="126"/>
      <c r="P25" s="126"/>
    </row>
    <row r="26" spans="3:16" s="122" customFormat="1" x14ac:dyDescent="0.5">
      <c r="C26" s="131"/>
      <c r="D26" s="126"/>
      <c r="E26" s="126"/>
      <c r="F26" s="126"/>
      <c r="G26" s="126"/>
      <c r="H26" s="126"/>
      <c r="I26" s="126"/>
      <c r="K26" s="126"/>
      <c r="L26" s="126"/>
      <c r="M26" s="126"/>
      <c r="N26" s="126"/>
      <c r="O26" s="126"/>
      <c r="P26" s="126"/>
    </row>
    <row r="27" spans="3:16" s="122" customFormat="1" x14ac:dyDescent="0.5">
      <c r="C27" s="131"/>
      <c r="D27" s="126"/>
      <c r="E27" s="126"/>
      <c r="F27" s="126"/>
      <c r="G27" s="126"/>
      <c r="H27" s="126"/>
      <c r="I27" s="126"/>
      <c r="K27" s="126"/>
      <c r="L27" s="126"/>
      <c r="M27" s="126"/>
      <c r="N27" s="126"/>
      <c r="O27" s="126"/>
      <c r="P27" s="126"/>
    </row>
    <row r="28" spans="3:16" s="122" customFormat="1" x14ac:dyDescent="0.5">
      <c r="C28" s="131"/>
      <c r="D28" s="126"/>
      <c r="E28" s="126"/>
      <c r="F28" s="126"/>
      <c r="G28" s="126"/>
      <c r="H28" s="126"/>
      <c r="I28" s="126"/>
      <c r="K28" s="126"/>
      <c r="L28" s="126"/>
      <c r="M28" s="126"/>
      <c r="N28" s="126"/>
      <c r="O28" s="126"/>
      <c r="P28" s="126"/>
    </row>
    <row r="29" spans="3:16" s="122" customFormat="1" x14ac:dyDescent="0.5">
      <c r="C29" s="131"/>
      <c r="D29" s="126"/>
      <c r="E29" s="126"/>
      <c r="F29" s="126"/>
      <c r="G29" s="126"/>
      <c r="H29" s="126"/>
      <c r="I29" s="126"/>
      <c r="K29" s="126"/>
      <c r="L29" s="126"/>
      <c r="M29" s="126"/>
      <c r="N29" s="126"/>
      <c r="O29" s="126"/>
      <c r="P29" s="126"/>
    </row>
    <row r="30" spans="3:16" s="122" customFormat="1" x14ac:dyDescent="0.5">
      <c r="C30" s="131"/>
      <c r="D30" s="126"/>
      <c r="E30" s="126"/>
      <c r="F30" s="126"/>
      <c r="G30" s="126"/>
      <c r="H30" s="126"/>
      <c r="I30" s="126"/>
      <c r="K30" s="126"/>
      <c r="L30" s="126"/>
      <c r="M30" s="126"/>
      <c r="N30" s="126"/>
      <c r="O30" s="126"/>
      <c r="P30" s="126"/>
    </row>
    <row r="31" spans="3:16" s="122" customFormat="1" x14ac:dyDescent="0.5"/>
    <row r="32" spans="3:16" x14ac:dyDescent="0.5">
      <c r="D32" s="132"/>
    </row>
    <row r="33" spans="2:16" x14ac:dyDescent="0.5">
      <c r="B33" s="196" t="s">
        <v>208</v>
      </c>
      <c r="C33" s="196"/>
      <c r="D33" s="196"/>
      <c r="E33" s="196"/>
      <c r="F33" s="196"/>
      <c r="G33" s="196"/>
      <c r="H33" s="132"/>
    </row>
    <row r="34" spans="2:16" x14ac:dyDescent="0.5">
      <c r="B34" s="133" t="s">
        <v>138</v>
      </c>
      <c r="C34" s="133" t="s">
        <v>184</v>
      </c>
      <c r="D34" s="133" t="s">
        <v>209</v>
      </c>
      <c r="E34" s="134" t="s">
        <v>73</v>
      </c>
      <c r="F34" s="135" t="s">
        <v>76</v>
      </c>
      <c r="G34" s="133" t="s">
        <v>84</v>
      </c>
    </row>
    <row r="35" spans="2:16" x14ac:dyDescent="0.5">
      <c r="B35" s="133" t="str">
        <f>_xlfn.CONCAT(D35," en ",C35)</f>
        <v>Industria en Sonora</v>
      </c>
      <c r="C35" s="133" t="s">
        <v>210</v>
      </c>
      <c r="D35" s="133" t="s">
        <v>25</v>
      </c>
      <c r="E35" s="136">
        <v>90</v>
      </c>
      <c r="F35" s="137">
        <v>0</v>
      </c>
      <c r="G35" s="133" t="s">
        <v>79</v>
      </c>
    </row>
    <row r="36" spans="2:16" x14ac:dyDescent="0.5">
      <c r="B36" s="133" t="str">
        <f>_xlfn.CONCAT(D36," en ",C36)</f>
        <v>Mat Prima en El Paso</v>
      </c>
      <c r="C36" s="133" t="s">
        <v>211</v>
      </c>
      <c r="D36" s="133" t="s">
        <v>212</v>
      </c>
      <c r="E36" s="136">
        <v>50</v>
      </c>
      <c r="F36" s="137">
        <v>0</v>
      </c>
      <c r="G36" s="133" t="s">
        <v>79</v>
      </c>
    </row>
    <row r="37" spans="2:16" x14ac:dyDescent="0.5">
      <c r="B37" s="133" t="str">
        <f>_xlfn.CONCAT(D37," en ",C37)</f>
        <v>Comida en Hermosillo</v>
      </c>
      <c r="C37" s="133" t="s">
        <v>213</v>
      </c>
      <c r="D37" s="133" t="s">
        <v>26</v>
      </c>
      <c r="E37" s="136">
        <v>50</v>
      </c>
      <c r="F37" s="137">
        <v>0</v>
      </c>
      <c r="G37" s="133" t="s">
        <v>79</v>
      </c>
    </row>
    <row r="38" spans="2:16" x14ac:dyDescent="0.5">
      <c r="B38" s="133" t="str">
        <f>_xlfn.CONCAT(D38," en ",C38)</f>
        <v>Materia Prima en Fort Worth</v>
      </c>
      <c r="C38" s="133" t="s">
        <v>214</v>
      </c>
      <c r="D38" s="133" t="s">
        <v>215</v>
      </c>
      <c r="E38" s="136">
        <v>50</v>
      </c>
      <c r="F38" s="137">
        <v>0</v>
      </c>
      <c r="G38" s="133" t="s">
        <v>78</v>
      </c>
    </row>
    <row r="39" spans="2:16" x14ac:dyDescent="0.5">
      <c r="B39" s="133" t="str">
        <f>_xlfn.CONCAT(D39," en ",C39)</f>
        <v>Materia Prima en Amarillo</v>
      </c>
      <c r="C39" s="133" t="s">
        <v>216</v>
      </c>
      <c r="D39" s="133" t="s">
        <v>215</v>
      </c>
      <c r="E39" s="136">
        <v>55</v>
      </c>
      <c r="F39" s="137">
        <v>0</v>
      </c>
      <c r="G39" s="133" t="s">
        <v>78</v>
      </c>
    </row>
    <row r="40" spans="2:16" x14ac:dyDescent="0.5">
      <c r="D40" s="197"/>
      <c r="E40" s="197"/>
      <c r="F40" s="138"/>
      <c r="G40" s="132"/>
    </row>
    <row r="41" spans="2:16" x14ac:dyDescent="0.5">
      <c r="D41" s="197"/>
      <c r="E41" s="197"/>
      <c r="F41" s="138"/>
      <c r="G41" s="132"/>
    </row>
    <row r="42" spans="2:16" x14ac:dyDescent="0.5">
      <c r="D42" s="197"/>
      <c r="E42" s="197"/>
      <c r="F42" s="138"/>
      <c r="G42" s="132"/>
    </row>
    <row r="43" spans="2:16" x14ac:dyDescent="0.5">
      <c r="D43" s="197"/>
      <c r="E43" s="197"/>
      <c r="F43" s="197"/>
      <c r="G43" s="139"/>
    </row>
    <row r="46" spans="2:16" x14ac:dyDescent="0.5">
      <c r="D46" s="197"/>
      <c r="E46" s="197"/>
      <c r="F46" s="197"/>
      <c r="G46" s="197"/>
      <c r="H46" s="197"/>
      <c r="I46" s="197"/>
      <c r="K46" s="197"/>
      <c r="L46" s="197"/>
      <c r="M46" s="197"/>
      <c r="N46" s="197"/>
      <c r="O46" s="197"/>
      <c r="P46" s="197"/>
    </row>
    <row r="50" spans="2:17" x14ac:dyDescent="0.5">
      <c r="D50" s="197"/>
      <c r="E50" s="197"/>
      <c r="F50" s="139"/>
      <c r="G50" s="132"/>
      <c r="I50" s="132"/>
    </row>
    <row r="51" spans="2:17" x14ac:dyDescent="0.5">
      <c r="D51" s="197"/>
      <c r="E51" s="197"/>
      <c r="F51" s="139"/>
      <c r="G51" s="132"/>
    </row>
    <row r="52" spans="2:17" x14ac:dyDescent="0.5">
      <c r="D52" s="197"/>
      <c r="E52" s="197"/>
      <c r="F52" s="139"/>
      <c r="G52" s="132"/>
    </row>
    <row r="53" spans="2:17" x14ac:dyDescent="0.5">
      <c r="D53" s="197"/>
      <c r="E53" s="197"/>
      <c r="F53" s="139"/>
      <c r="G53" s="132"/>
    </row>
    <row r="54" spans="2:17" x14ac:dyDescent="0.5">
      <c r="D54" s="197"/>
      <c r="E54" s="197"/>
      <c r="F54" s="138"/>
      <c r="G54" s="132"/>
      <c r="I54" s="132"/>
    </row>
    <row r="55" spans="2:17" x14ac:dyDescent="0.5">
      <c r="D55" s="197"/>
      <c r="E55" s="197"/>
      <c r="F55" s="138"/>
      <c r="G55" s="132"/>
    </row>
    <row r="56" spans="2:17" x14ac:dyDescent="0.5">
      <c r="D56" s="197"/>
      <c r="E56" s="197"/>
      <c r="F56" s="197"/>
      <c r="G56" s="139"/>
    </row>
    <row r="57" spans="2:17" x14ac:dyDescent="0.5">
      <c r="D57" s="132"/>
      <c r="G57" s="139"/>
      <c r="H57" s="132"/>
    </row>
    <row r="58" spans="2:17" ht="17.649999999999999" customHeight="1" x14ac:dyDescent="0.5">
      <c r="Q58" s="140"/>
    </row>
    <row r="59" spans="2:17" x14ac:dyDescent="0.5"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</row>
    <row r="60" spans="2:17" x14ac:dyDescent="0.5"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</row>
    <row r="62" spans="2:17" x14ac:dyDescent="0.5">
      <c r="B62" s="132"/>
      <c r="E62" s="132"/>
    </row>
    <row r="63" spans="2:17" x14ac:dyDescent="0.5">
      <c r="C63" s="132"/>
    </row>
    <row r="64" spans="2:17" x14ac:dyDescent="0.5">
      <c r="D64" s="197"/>
      <c r="E64" s="197"/>
      <c r="F64" s="197"/>
      <c r="G64" s="197"/>
      <c r="H64" s="197"/>
      <c r="I64" s="197"/>
      <c r="K64" s="197"/>
      <c r="L64" s="197"/>
      <c r="M64" s="197"/>
      <c r="N64" s="197"/>
      <c r="O64" s="197"/>
      <c r="P64" s="197"/>
    </row>
    <row r="67" spans="4:17" x14ac:dyDescent="0.5">
      <c r="D67" s="132"/>
    </row>
    <row r="68" spans="4:17" x14ac:dyDescent="0.5">
      <c r="D68" s="197"/>
      <c r="E68" s="197"/>
      <c r="F68" s="139"/>
      <c r="G68" s="132"/>
    </row>
    <row r="69" spans="4:17" x14ac:dyDescent="0.5">
      <c r="D69" s="197"/>
      <c r="E69" s="197"/>
      <c r="F69" s="139"/>
    </row>
    <row r="70" spans="4:17" x14ac:dyDescent="0.5">
      <c r="D70" s="197"/>
      <c r="E70" s="197"/>
      <c r="F70" s="138"/>
    </row>
    <row r="71" spans="4:17" x14ac:dyDescent="0.5">
      <c r="D71" s="197"/>
      <c r="E71" s="197"/>
      <c r="F71" s="138"/>
    </row>
    <row r="72" spans="4:17" x14ac:dyDescent="0.5">
      <c r="D72" s="197"/>
      <c r="E72" s="197"/>
      <c r="F72" s="197"/>
      <c r="G72" s="139"/>
    </row>
    <row r="73" spans="4:17" ht="17.649999999999999" customHeight="1" x14ac:dyDescent="0.5">
      <c r="Q73" s="141"/>
    </row>
    <row r="74" spans="4:17" x14ac:dyDescent="0.5"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</row>
    <row r="75" spans="4:17" x14ac:dyDescent="0.5"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</row>
    <row r="78" spans="4:17" x14ac:dyDescent="0.5">
      <c r="E78" s="139"/>
    </row>
    <row r="79" spans="4:17" x14ac:dyDescent="0.5">
      <c r="D79" s="197"/>
      <c r="E79" s="197"/>
      <c r="F79" s="197"/>
      <c r="G79" s="197"/>
      <c r="H79" s="197"/>
      <c r="I79" s="197"/>
      <c r="K79" s="197"/>
      <c r="L79" s="197"/>
      <c r="M79" s="197"/>
      <c r="N79" s="197"/>
      <c r="O79" s="197"/>
      <c r="P79" s="197"/>
    </row>
    <row r="83" spans="4:17" x14ac:dyDescent="0.5">
      <c r="D83" s="197"/>
      <c r="E83" s="197"/>
    </row>
    <row r="84" spans="4:17" x14ac:dyDescent="0.5">
      <c r="D84" s="197"/>
      <c r="E84" s="197"/>
      <c r="F84" s="139"/>
    </row>
    <row r="87" spans="4:17" x14ac:dyDescent="0.5">
      <c r="E87" s="139"/>
      <c r="F87" s="132"/>
      <c r="J87" s="132"/>
    </row>
    <row r="88" spans="4:17" x14ac:dyDescent="0.5">
      <c r="D88" s="197"/>
      <c r="E88" s="197"/>
      <c r="F88" s="197"/>
      <c r="G88" s="197"/>
      <c r="H88" s="197"/>
      <c r="I88" s="197"/>
      <c r="K88" s="197"/>
      <c r="L88" s="197"/>
      <c r="M88" s="197"/>
      <c r="N88" s="197"/>
      <c r="O88" s="197"/>
      <c r="P88" s="197"/>
    </row>
    <row r="92" spans="4:17" x14ac:dyDescent="0.5">
      <c r="D92" s="197"/>
      <c r="E92" s="197"/>
      <c r="F92" s="139"/>
      <c r="H92" s="132"/>
    </row>
    <row r="93" spans="4:17" x14ac:dyDescent="0.5">
      <c r="D93" s="197"/>
      <c r="E93" s="197"/>
      <c r="F93" s="139"/>
    </row>
    <row r="94" spans="4:17" x14ac:dyDescent="0.5">
      <c r="D94" s="197"/>
      <c r="E94" s="197"/>
      <c r="F94" s="138"/>
    </row>
    <row r="95" spans="4:17" x14ac:dyDescent="0.5">
      <c r="D95" s="197"/>
      <c r="E95" s="197"/>
      <c r="F95" s="197"/>
      <c r="G95" s="139"/>
    </row>
    <row r="96" spans="4:17" ht="18.75" customHeight="1" x14ac:dyDescent="0.5">
      <c r="Q96" s="141"/>
    </row>
    <row r="97" spans="2:17" x14ac:dyDescent="0.5"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</row>
    <row r="98" spans="2:17" x14ac:dyDescent="0.5"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</row>
    <row r="99" spans="2:17" x14ac:dyDescent="0.5"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</row>
    <row r="101" spans="2:17" x14ac:dyDescent="0.5">
      <c r="B101" s="132"/>
    </row>
    <row r="102" spans="2:17" x14ac:dyDescent="0.5">
      <c r="C102" s="132"/>
      <c r="I102" s="139"/>
    </row>
    <row r="104" spans="2:17" x14ac:dyDescent="0.5">
      <c r="E104" s="139"/>
      <c r="F104" s="132"/>
    </row>
    <row r="106" spans="2:17" x14ac:dyDescent="0.5">
      <c r="D106" s="197"/>
      <c r="E106" s="197"/>
      <c r="F106" s="139"/>
    </row>
    <row r="108" spans="2:17" x14ac:dyDescent="0.5">
      <c r="E108" s="139"/>
    </row>
    <row r="111" spans="2:17" x14ac:dyDescent="0.5">
      <c r="E111" s="139"/>
      <c r="F111" s="132"/>
    </row>
    <row r="112" spans="2:17" x14ac:dyDescent="0.5">
      <c r="D112" s="132"/>
    </row>
    <row r="113" spans="4:16" x14ac:dyDescent="0.5">
      <c r="D113" s="197"/>
      <c r="E113" s="197"/>
      <c r="F113" s="139"/>
      <c r="G113" s="132"/>
      <c r="I113" s="132"/>
    </row>
    <row r="114" spans="4:16" x14ac:dyDescent="0.5">
      <c r="D114" s="197"/>
      <c r="E114" s="197"/>
      <c r="F114" s="139"/>
      <c r="G114" s="132"/>
    </row>
    <row r="115" spans="4:16" x14ac:dyDescent="0.5">
      <c r="D115" s="197"/>
      <c r="E115" s="197"/>
      <c r="F115" s="139"/>
      <c r="G115" s="132"/>
    </row>
    <row r="116" spans="4:16" x14ac:dyDescent="0.5">
      <c r="D116" s="197"/>
      <c r="E116" s="197"/>
      <c r="F116" s="139"/>
      <c r="G116" s="139"/>
      <c r="I116" s="132"/>
    </row>
    <row r="117" spans="4:16" x14ac:dyDescent="0.5">
      <c r="D117" s="198"/>
      <c r="E117" s="198"/>
      <c r="F117" s="198"/>
      <c r="G117" s="198"/>
      <c r="H117" s="198"/>
      <c r="I117" s="198"/>
      <c r="J117" s="198"/>
      <c r="K117" s="198"/>
      <c r="L117" s="198"/>
      <c r="M117" s="198"/>
      <c r="N117" s="198"/>
      <c r="O117" s="198"/>
      <c r="P117" s="198"/>
    </row>
    <row r="118" spans="4:16" x14ac:dyDescent="0.5">
      <c r="E118" s="139"/>
      <c r="F118" s="132"/>
    </row>
    <row r="119" spans="4:16" x14ac:dyDescent="0.5">
      <c r="D119" s="197"/>
      <c r="E119" s="197"/>
    </row>
    <row r="120" spans="4:16" x14ac:dyDescent="0.5">
      <c r="D120" s="197"/>
      <c r="E120" s="197"/>
      <c r="F120" s="139"/>
      <c r="H120" s="132"/>
    </row>
    <row r="121" spans="4:16" x14ac:dyDescent="0.5">
      <c r="D121" s="197"/>
      <c r="E121" s="197"/>
      <c r="F121" s="197"/>
      <c r="G121" s="197"/>
      <c r="H121" s="197"/>
      <c r="I121" s="197"/>
      <c r="K121" s="197"/>
      <c r="L121" s="197"/>
      <c r="M121" s="197"/>
      <c r="N121" s="197"/>
      <c r="O121" s="197"/>
      <c r="P121" s="197"/>
    </row>
    <row r="124" spans="4:16" x14ac:dyDescent="0.5">
      <c r="G124" s="139"/>
    </row>
    <row r="125" spans="4:16" x14ac:dyDescent="0.5">
      <c r="G125" s="139"/>
    </row>
    <row r="126" spans="4:16" x14ac:dyDescent="0.5">
      <c r="E126" s="139"/>
      <c r="G126" s="139"/>
    </row>
    <row r="128" spans="4:16" x14ac:dyDescent="0.5">
      <c r="E128" s="139"/>
    </row>
    <row r="130" spans="2:7" x14ac:dyDescent="0.5">
      <c r="G130" s="139"/>
    </row>
    <row r="133" spans="2:7" x14ac:dyDescent="0.5">
      <c r="E133" s="139"/>
    </row>
    <row r="134" spans="2:7" x14ac:dyDescent="0.5">
      <c r="D134" s="197"/>
      <c r="E134" s="197"/>
    </row>
    <row r="135" spans="2:7" x14ac:dyDescent="0.5">
      <c r="D135" s="197"/>
      <c r="E135" s="197"/>
      <c r="F135" s="139"/>
    </row>
    <row r="137" spans="2:7" x14ac:dyDescent="0.5">
      <c r="B137" s="142"/>
    </row>
    <row r="138" spans="2:7" x14ac:dyDescent="0.5">
      <c r="B138" s="142"/>
      <c r="C138" s="142"/>
      <c r="F138" s="142"/>
    </row>
    <row r="139" spans="2:7" x14ac:dyDescent="0.5">
      <c r="B139" s="142"/>
      <c r="C139" s="142"/>
    </row>
    <row r="140" spans="2:7" x14ac:dyDescent="0.5">
      <c r="B140" s="142"/>
      <c r="C140" s="142"/>
    </row>
    <row r="141" spans="2:7" x14ac:dyDescent="0.5">
      <c r="B141" s="142"/>
      <c r="C141" s="142"/>
    </row>
    <row r="142" spans="2:7" x14ac:dyDescent="0.5">
      <c r="C142" s="142"/>
    </row>
    <row r="145" spans="2:16" x14ac:dyDescent="0.5">
      <c r="D145" s="132"/>
      <c r="K145" s="132"/>
    </row>
    <row r="146" spans="2:16" x14ac:dyDescent="0.5">
      <c r="B146" s="143"/>
      <c r="D146" s="197"/>
      <c r="E146" s="197"/>
      <c r="F146" s="197"/>
      <c r="G146" s="197"/>
      <c r="H146" s="197"/>
      <c r="I146" s="197"/>
      <c r="K146" s="197"/>
      <c r="L146" s="197"/>
      <c r="M146" s="197"/>
      <c r="N146" s="197"/>
      <c r="O146" s="197"/>
      <c r="P146" s="197"/>
    </row>
    <row r="147" spans="2:16" x14ac:dyDescent="0.5">
      <c r="C147" s="143"/>
    </row>
    <row r="151" spans="2:16" x14ac:dyDescent="0.5">
      <c r="D151" s="197"/>
      <c r="E151" s="197"/>
      <c r="F151" s="197"/>
      <c r="G151" s="197"/>
      <c r="H151" s="197"/>
      <c r="I151" s="197"/>
      <c r="K151" s="197"/>
      <c r="L151" s="197"/>
      <c r="M151" s="197"/>
      <c r="N151" s="197"/>
      <c r="O151" s="197"/>
      <c r="P151" s="197"/>
    </row>
    <row r="154" spans="2:16" x14ac:dyDescent="0.5">
      <c r="B154" s="132"/>
    </row>
    <row r="155" spans="2:16" x14ac:dyDescent="0.5">
      <c r="C155" s="132"/>
      <c r="D155" s="132"/>
      <c r="F155" s="144"/>
    </row>
    <row r="157" spans="2:16" x14ac:dyDescent="0.5"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</row>
    <row r="158" spans="2:16" x14ac:dyDescent="0.5">
      <c r="D158" s="197"/>
      <c r="E158" s="197"/>
      <c r="F158" s="197"/>
      <c r="G158" s="197"/>
      <c r="H158" s="197"/>
      <c r="I158" s="197"/>
      <c r="K158" s="197"/>
      <c r="L158" s="197"/>
      <c r="M158" s="197"/>
      <c r="N158" s="197"/>
      <c r="O158" s="197"/>
      <c r="P158" s="197"/>
    </row>
    <row r="162" spans="5:6" x14ac:dyDescent="0.5">
      <c r="E162" s="139"/>
      <c r="F162" s="132"/>
    </row>
  </sheetData>
  <sheetProtection algorithmName="SHA-512" hashValue="ZAKaQRXQ/Oi+Q/K8+Vy1v+ALsEJbFdmwEzV8IXLNLPVD89jsGfcW3qsdTAmm6YSvBq/D5pCcwvxw0e6a00sENw==" saltValue="Y462rXz0QfPS3IkBjochdA==" spinCount="100000" sheet="1" objects="1" scenarios="1"/>
  <mergeCells count="55">
    <mergeCell ref="D158:I158"/>
    <mergeCell ref="K158:P158"/>
    <mergeCell ref="D134:E134"/>
    <mergeCell ref="D135:E135"/>
    <mergeCell ref="D146:I146"/>
    <mergeCell ref="K146:P146"/>
    <mergeCell ref="D151:I151"/>
    <mergeCell ref="K151:P151"/>
    <mergeCell ref="D116:E116"/>
    <mergeCell ref="D117:P117"/>
    <mergeCell ref="D119:E119"/>
    <mergeCell ref="D120:E120"/>
    <mergeCell ref="D121:I121"/>
    <mergeCell ref="K121:P121"/>
    <mergeCell ref="D95:F95"/>
    <mergeCell ref="D106:E106"/>
    <mergeCell ref="D113:E113"/>
    <mergeCell ref="D114:E114"/>
    <mergeCell ref="D115:E115"/>
    <mergeCell ref="D88:I88"/>
    <mergeCell ref="K88:P88"/>
    <mergeCell ref="D92:E92"/>
    <mergeCell ref="D93:E93"/>
    <mergeCell ref="D94:E94"/>
    <mergeCell ref="D72:F72"/>
    <mergeCell ref="D79:I79"/>
    <mergeCell ref="K79:P79"/>
    <mergeCell ref="D83:E83"/>
    <mergeCell ref="D84:E84"/>
    <mergeCell ref="K64:P64"/>
    <mergeCell ref="D68:E68"/>
    <mergeCell ref="D69:E69"/>
    <mergeCell ref="D70:E70"/>
    <mergeCell ref="D71:E71"/>
    <mergeCell ref="D53:E53"/>
    <mergeCell ref="D54:E54"/>
    <mergeCell ref="D55:E55"/>
    <mergeCell ref="D56:F56"/>
    <mergeCell ref="D64:I64"/>
    <mergeCell ref="D46:I46"/>
    <mergeCell ref="K46:P46"/>
    <mergeCell ref="D50:E50"/>
    <mergeCell ref="D51:E51"/>
    <mergeCell ref="D52:E52"/>
    <mergeCell ref="B33:G33"/>
    <mergeCell ref="D40:E40"/>
    <mergeCell ref="D41:E41"/>
    <mergeCell ref="D42:E42"/>
    <mergeCell ref="D43:F43"/>
    <mergeCell ref="B1:P1"/>
    <mergeCell ref="B5:B6"/>
    <mergeCell ref="C5:I5"/>
    <mergeCell ref="K5:P5"/>
    <mergeCell ref="C9:H9"/>
    <mergeCell ref="K9:P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6"/>
  <sheetViews>
    <sheetView showGridLines="0" zoomScaleNormal="100" workbookViewId="0"/>
  </sheetViews>
  <sheetFormatPr defaultRowHeight="12.75" x14ac:dyDescent="0.35"/>
  <cols>
    <col min="1" max="3" width="13.796875" customWidth="1"/>
    <col min="4" max="6" width="9.1328125" customWidth="1"/>
    <col min="7" max="7" width="29.1328125" customWidth="1"/>
    <col min="8" max="1025" width="9.1328125" customWidth="1"/>
  </cols>
  <sheetData>
    <row r="1" spans="1:9" x14ac:dyDescent="0.35">
      <c r="C1" s="146" t="s">
        <v>17</v>
      </c>
      <c r="D1" s="147">
        <f>SUM(D4:D46)</f>
        <v>39</v>
      </c>
      <c r="E1" s="148"/>
    </row>
    <row r="3" spans="1:9" x14ac:dyDescent="0.35">
      <c r="A3" s="199" t="s">
        <v>217</v>
      </c>
      <c r="B3" s="199"/>
      <c r="C3" s="199"/>
      <c r="D3" s="199"/>
      <c r="E3" s="199"/>
      <c r="G3" s="200" t="s">
        <v>218</v>
      </c>
      <c r="H3" s="200"/>
      <c r="I3" s="200"/>
    </row>
    <row r="4" spans="1:9" x14ac:dyDescent="0.35">
      <c r="A4" s="199" t="s">
        <v>219</v>
      </c>
      <c r="B4" s="199"/>
      <c r="C4" s="199"/>
      <c r="D4" s="147" t="s">
        <v>220</v>
      </c>
      <c r="E4" s="149" t="s">
        <v>221</v>
      </c>
      <c r="G4" s="150" t="s">
        <v>219</v>
      </c>
      <c r="H4" s="151" t="s">
        <v>73</v>
      </c>
      <c r="I4" s="152" t="s">
        <v>85</v>
      </c>
    </row>
    <row r="5" spans="1:9" x14ac:dyDescent="0.35">
      <c r="A5" s="199" t="s">
        <v>222</v>
      </c>
      <c r="B5" s="199"/>
      <c r="C5" s="199"/>
      <c r="D5" s="147">
        <v>24</v>
      </c>
      <c r="E5" s="153">
        <v>1893</v>
      </c>
      <c r="G5" s="150" t="s">
        <v>223</v>
      </c>
      <c r="H5" s="154">
        <v>45</v>
      </c>
      <c r="I5" s="152">
        <v>2</v>
      </c>
    </row>
    <row r="6" spans="1:9" x14ac:dyDescent="0.35">
      <c r="A6" s="199" t="s">
        <v>224</v>
      </c>
      <c r="B6" s="199"/>
      <c r="C6" s="199"/>
      <c r="D6" s="147">
        <v>15</v>
      </c>
      <c r="E6" s="153">
        <v>1895</v>
      </c>
      <c r="G6" s="150" t="s">
        <v>225</v>
      </c>
      <c r="H6" s="154">
        <v>45</v>
      </c>
      <c r="I6" s="152">
        <v>2</v>
      </c>
    </row>
    <row r="7" spans="1:9" x14ac:dyDescent="0.35">
      <c r="A7" s="199"/>
      <c r="B7" s="199"/>
      <c r="C7" s="199"/>
      <c r="D7" s="155"/>
      <c r="E7" s="153"/>
      <c r="G7" s="150"/>
      <c r="H7" s="154"/>
      <c r="I7" s="152"/>
    </row>
    <row r="8" spans="1:9" x14ac:dyDescent="0.35">
      <c r="A8" s="199"/>
      <c r="B8" s="199"/>
      <c r="C8" s="199"/>
      <c r="D8" s="155"/>
      <c r="E8" s="153"/>
      <c r="G8" s="150"/>
      <c r="H8" s="154"/>
      <c r="I8" s="152"/>
    </row>
    <row r="9" spans="1:9" x14ac:dyDescent="0.35">
      <c r="A9" s="199"/>
      <c r="B9" s="199"/>
      <c r="C9" s="199"/>
      <c r="D9" s="147"/>
      <c r="E9" s="153"/>
      <c r="G9" s="150"/>
      <c r="H9" s="154"/>
      <c r="I9" s="152"/>
    </row>
    <row r="10" spans="1:9" x14ac:dyDescent="0.35">
      <c r="A10" s="199"/>
      <c r="B10" s="199"/>
      <c r="C10" s="199"/>
      <c r="D10" s="155"/>
      <c r="E10" s="153"/>
      <c r="G10" s="150"/>
      <c r="H10" s="154"/>
      <c r="I10" s="152"/>
    </row>
    <row r="11" spans="1:9" x14ac:dyDescent="0.35">
      <c r="A11" s="199"/>
      <c r="B11" s="199"/>
      <c r="C11" s="199"/>
      <c r="D11" s="147"/>
      <c r="E11" s="153"/>
      <c r="G11" s="150"/>
      <c r="H11" s="154"/>
      <c r="I11" s="152"/>
    </row>
    <row r="12" spans="1:9" x14ac:dyDescent="0.35">
      <c r="A12" s="199"/>
      <c r="B12" s="199"/>
      <c r="C12" s="199"/>
      <c r="D12" s="147"/>
      <c r="E12" s="153"/>
      <c r="G12" s="150"/>
      <c r="H12" s="154"/>
      <c r="I12" s="152"/>
    </row>
    <row r="13" spans="1:9" x14ac:dyDescent="0.35">
      <c r="A13" s="199"/>
      <c r="B13" s="199"/>
      <c r="C13" s="199"/>
      <c r="D13" s="147"/>
      <c r="E13" s="153"/>
      <c r="G13" s="150"/>
      <c r="H13" s="154"/>
      <c r="I13" s="152"/>
    </row>
    <row r="14" spans="1:9" x14ac:dyDescent="0.35">
      <c r="A14" s="199"/>
      <c r="B14" s="199"/>
      <c r="C14" s="199"/>
      <c r="D14" s="147"/>
      <c r="E14" s="153"/>
      <c r="G14" s="156"/>
      <c r="H14" s="157"/>
      <c r="I14" s="158"/>
    </row>
    <row r="15" spans="1:9" x14ac:dyDescent="0.35">
      <c r="D15" s="159"/>
      <c r="E15" s="159"/>
    </row>
    <row r="16" spans="1:9" x14ac:dyDescent="0.35">
      <c r="D16" s="159"/>
      <c r="E16" s="159"/>
    </row>
    <row r="17" spans="4:5" x14ac:dyDescent="0.35">
      <c r="D17" s="159"/>
      <c r="E17" s="159"/>
    </row>
    <row r="18" spans="4:5" x14ac:dyDescent="0.35">
      <c r="D18" s="159"/>
      <c r="E18" s="159"/>
    </row>
    <row r="19" spans="4:5" x14ac:dyDescent="0.35">
      <c r="D19" s="159"/>
      <c r="E19" s="159"/>
    </row>
    <row r="20" spans="4:5" x14ac:dyDescent="0.35">
      <c r="D20" s="159"/>
      <c r="E20" s="159"/>
    </row>
    <row r="21" spans="4:5" x14ac:dyDescent="0.35">
      <c r="D21" s="159"/>
      <c r="E21" s="159"/>
    </row>
    <row r="22" spans="4:5" x14ac:dyDescent="0.35">
      <c r="D22" s="159"/>
      <c r="E22" s="159"/>
    </row>
    <row r="23" spans="4:5" x14ac:dyDescent="0.35">
      <c r="D23" s="159"/>
      <c r="E23" s="159"/>
    </row>
    <row r="24" spans="4:5" x14ac:dyDescent="0.35">
      <c r="D24" s="159"/>
      <c r="E24" s="159"/>
    </row>
    <row r="25" spans="4:5" x14ac:dyDescent="0.35">
      <c r="D25" s="159"/>
      <c r="E25" s="159"/>
    </row>
    <row r="26" spans="4:5" x14ac:dyDescent="0.35">
      <c r="D26" s="159"/>
      <c r="E26" s="159"/>
    </row>
    <row r="27" spans="4:5" x14ac:dyDescent="0.35">
      <c r="D27" s="159"/>
      <c r="E27" s="159"/>
    </row>
    <row r="28" spans="4:5" x14ac:dyDescent="0.35">
      <c r="D28" s="159"/>
      <c r="E28" s="159"/>
    </row>
    <row r="29" spans="4:5" x14ac:dyDescent="0.35">
      <c r="D29" s="159"/>
      <c r="E29" s="159"/>
    </row>
    <row r="30" spans="4:5" x14ac:dyDescent="0.35">
      <c r="D30" s="159"/>
      <c r="E30" s="159"/>
    </row>
    <row r="31" spans="4:5" x14ac:dyDescent="0.35">
      <c r="D31" s="159"/>
      <c r="E31" s="159"/>
    </row>
    <row r="32" spans="4:5" x14ac:dyDescent="0.35">
      <c r="D32" s="159"/>
      <c r="E32" s="159"/>
    </row>
    <row r="33" spans="4:5" x14ac:dyDescent="0.35">
      <c r="D33" s="159"/>
      <c r="E33" s="159"/>
    </row>
    <row r="34" spans="4:5" x14ac:dyDescent="0.35">
      <c r="D34" s="159"/>
      <c r="E34" s="159"/>
    </row>
    <row r="35" spans="4:5" x14ac:dyDescent="0.35">
      <c r="D35" s="159"/>
      <c r="E35" s="159"/>
    </row>
    <row r="36" spans="4:5" x14ac:dyDescent="0.35">
      <c r="D36" s="159"/>
      <c r="E36" s="159"/>
    </row>
  </sheetData>
  <sheetProtection algorithmName="SHA-512" hashValue="XJC9FfQcmzxY7JHs94UCXu2EAJEWKdbW4q14XTj5HvFQo4QO8PL0Sdkgo6LLl3Ii8YCDyhcMb+v7ymgfgooQ5g==" saltValue="+fu3EAwIe78233d9AiK2+w==" spinCount="100000" sheet="1" objects="1" scenarios="1"/>
  <mergeCells count="13">
    <mergeCell ref="A12:C12"/>
    <mergeCell ref="A13:C13"/>
    <mergeCell ref="A14:C14"/>
    <mergeCell ref="A7:C7"/>
    <mergeCell ref="A8:C8"/>
    <mergeCell ref="A9:C9"/>
    <mergeCell ref="A10:C10"/>
    <mergeCell ref="A11:C11"/>
    <mergeCell ref="A3:E3"/>
    <mergeCell ref="G3:I3"/>
    <mergeCell ref="A4:C4"/>
    <mergeCell ref="A5:C5"/>
    <mergeCell ref="A6:C6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46"/>
  <sheetViews>
    <sheetView topLeftCell="A3" zoomScaleNormal="100" workbookViewId="0">
      <selection activeCell="D15" sqref="D15"/>
    </sheetView>
  </sheetViews>
  <sheetFormatPr defaultRowHeight="17.649999999999999" x14ac:dyDescent="0.5"/>
  <cols>
    <col min="1" max="1" width="9.1328125" style="122" customWidth="1"/>
    <col min="2" max="2" width="13" style="122" customWidth="1"/>
    <col min="3" max="3" width="11" style="122" customWidth="1"/>
    <col min="4" max="9" width="9.1328125" style="122" customWidth="1"/>
    <col min="10" max="10" width="12.6640625" style="122" customWidth="1"/>
    <col min="11" max="12" width="9.1328125" style="122" customWidth="1"/>
    <col min="13" max="13" width="9.53125" style="122" customWidth="1"/>
    <col min="14" max="14" width="9.1328125" style="122" customWidth="1"/>
    <col min="15" max="15" width="10.86328125" style="122" customWidth="1"/>
    <col min="16" max="16" width="14.33203125" style="122" customWidth="1"/>
    <col min="17" max="17" width="10.6640625" style="122" customWidth="1"/>
    <col min="18" max="19" width="9.1328125" style="122" customWidth="1"/>
    <col min="20" max="20" width="11.33203125" style="122" customWidth="1"/>
    <col min="21" max="1025" width="9.1328125" style="122" customWidth="1"/>
  </cols>
  <sheetData>
    <row r="1" spans="1:21" ht="17.649999999999999" customHeight="1" x14ac:dyDescent="0.5">
      <c r="D1" s="122" t="s">
        <v>226</v>
      </c>
      <c r="I1" s="201" t="s">
        <v>227</v>
      </c>
      <c r="P1" s="201" t="s">
        <v>228</v>
      </c>
      <c r="Q1" s="201" t="s">
        <v>229</v>
      </c>
    </row>
    <row r="2" spans="1:21" x14ac:dyDescent="0.5">
      <c r="I2" s="201"/>
      <c r="J2" s="122" t="s">
        <v>230</v>
      </c>
      <c r="K2" s="122" t="s">
        <v>231</v>
      </c>
      <c r="L2" s="122" t="s">
        <v>232</v>
      </c>
      <c r="M2" s="122" t="s">
        <v>233</v>
      </c>
      <c r="N2" s="122" t="s">
        <v>234</v>
      </c>
      <c r="O2" s="122" t="s">
        <v>235</v>
      </c>
      <c r="P2" s="201"/>
      <c r="Q2" s="201"/>
      <c r="T2" s="122" t="s">
        <v>236</v>
      </c>
    </row>
    <row r="3" spans="1:21" x14ac:dyDescent="0.5">
      <c r="B3" s="122" t="s">
        <v>237</v>
      </c>
      <c r="D3" s="122" t="s">
        <v>238</v>
      </c>
      <c r="I3" s="122" t="s">
        <v>239</v>
      </c>
      <c r="J3" s="122">
        <f>IF(Econ!C133&gt;0,(VLOOKUP(Econ!D133,Land_Builds,2)*Econ!C133),0)</f>
        <v>0</v>
      </c>
      <c r="K3" s="122">
        <f>IF(Econ!E133&gt;0,(VLOOKUP(Econ!F133,Land_Builds,3)*Econ!E133),0)</f>
        <v>0</v>
      </c>
      <c r="L3" s="122">
        <f>IF(Econ!G133&gt;0,(VLOOKUP(Econ!H133,Land_Builds,4)*Econ!G133),0)</f>
        <v>0</v>
      </c>
      <c r="M3" s="122">
        <f>IF(Econ!I133&gt;0,(VLOOKUP(Econ!J133,Land_Builds,5)*Econ!I133),0)</f>
        <v>0</v>
      </c>
      <c r="N3" s="122">
        <f>COUNTIFS(J3:M3,"&gt;0")</f>
        <v>0</v>
      </c>
      <c r="O3" s="122">
        <f>IF(N3&gt;0,N3-1,0)</f>
        <v>0</v>
      </c>
      <c r="P3" s="160">
        <f>O3*5</f>
        <v>0</v>
      </c>
      <c r="Q3" s="160">
        <f>J3+K3+L3+M3+P3</f>
        <v>0</v>
      </c>
    </row>
    <row r="4" spans="1:21" x14ac:dyDescent="0.5">
      <c r="D4" s="122" t="s">
        <v>22</v>
      </c>
      <c r="I4" s="122" t="s">
        <v>240</v>
      </c>
      <c r="J4" s="122">
        <f>IF(Econ!C134&gt;0,(VLOOKUP(Econ!D134,Land_Builds,2)*Econ!C134),0)</f>
        <v>0</v>
      </c>
      <c r="K4" s="122">
        <f>IF(Econ!E134&gt;0,(VLOOKUP(Econ!F134,Land_Builds,3)*Econ!E134),0)</f>
        <v>0</v>
      </c>
      <c r="L4" s="122">
        <f>IF(Econ!G134&gt;0,(VLOOKUP(Econ!H134,Land_Builds,4)*Econ!G134),0)</f>
        <v>0</v>
      </c>
      <c r="M4" s="122">
        <f>IF(Econ!I134&gt;0,(VLOOKUP(Econ!J134,Land_Builds,5)*Econ!I134),0)</f>
        <v>0</v>
      </c>
      <c r="N4" s="122">
        <f>COUNTIFS(J4:M4,"&gt;0")</f>
        <v>0</v>
      </c>
      <c r="O4" s="122">
        <f>IF(N4&gt;0,N4-1,0)</f>
        <v>0</v>
      </c>
      <c r="P4" s="160">
        <f>O4*5</f>
        <v>0</v>
      </c>
      <c r="Q4" s="160">
        <f>J4+K4+L4+M4+P4</f>
        <v>0</v>
      </c>
      <c r="T4" s="122" t="s">
        <v>241</v>
      </c>
      <c r="U4" s="160">
        <v>20</v>
      </c>
    </row>
    <row r="5" spans="1:21" x14ac:dyDescent="0.5">
      <c r="B5" s="122" t="s">
        <v>79</v>
      </c>
      <c r="D5" s="122" t="s">
        <v>177</v>
      </c>
      <c r="I5" s="122" t="s">
        <v>242</v>
      </c>
      <c r="J5" s="122">
        <f>IF(Econ!C135&gt;0,(VLOOKUP(Econ!D135,Land_Builds,2)*Econ!C135),0)</f>
        <v>0</v>
      </c>
      <c r="K5" s="122">
        <f>IF(Econ!E135&gt;0,(VLOOKUP(Econ!F135,Land_Builds,3)*Econ!E135),0)</f>
        <v>0</v>
      </c>
      <c r="L5" s="122">
        <f>IF(Econ!G135&gt;0,(VLOOKUP(Econ!H135,Land_Builds,4)*Econ!G135),0)</f>
        <v>0</v>
      </c>
      <c r="M5" s="122">
        <f>IF(Econ!I135&gt;0,(VLOOKUP(Econ!J135,Land_Builds,5)*Econ!I135),0)</f>
        <v>0</v>
      </c>
      <c r="N5" s="122">
        <f>COUNTIFS(J5:M5,"&gt;0")</f>
        <v>0</v>
      </c>
      <c r="O5" s="122">
        <f>IF(N5&gt;0,N5-1,0)</f>
        <v>0</v>
      </c>
      <c r="P5" s="160">
        <f>O5*5</f>
        <v>0</v>
      </c>
      <c r="Q5" s="160">
        <f>J5+K5+L5+M5+P5</f>
        <v>0</v>
      </c>
      <c r="T5" s="122" t="s">
        <v>243</v>
      </c>
      <c r="U5" s="160">
        <v>30</v>
      </c>
    </row>
    <row r="6" spans="1:21" x14ac:dyDescent="0.5">
      <c r="B6" s="122" t="s">
        <v>78</v>
      </c>
      <c r="D6" s="122" t="s">
        <v>244</v>
      </c>
      <c r="I6" s="122" t="s">
        <v>245</v>
      </c>
      <c r="J6" s="122">
        <f>IF(Econ!C136&gt;0,(VLOOKUP(Econ!D136,Land_Builds,2)*Econ!C136),0)</f>
        <v>0</v>
      </c>
      <c r="K6" s="122">
        <f>IF(Econ!E136&gt;0,(VLOOKUP(Econ!F136,Land_Builds,3)*Econ!E136),0)</f>
        <v>0</v>
      </c>
      <c r="L6" s="122">
        <f>IF(Econ!G136&gt;0,(VLOOKUP(Econ!H136,Land_Builds,4)*Econ!G136),0)</f>
        <v>0</v>
      </c>
      <c r="M6" s="122">
        <f>IF(Econ!I136&gt;0,(VLOOKUP(Econ!J136,Land_Builds,5)*Econ!I136),0)</f>
        <v>0</v>
      </c>
      <c r="N6" s="122">
        <f>COUNTIFS(J6:M6,"&gt;0")</f>
        <v>0</v>
      </c>
      <c r="O6" s="122">
        <f>IF(N6&gt;0,N6-1,0)</f>
        <v>0</v>
      </c>
      <c r="P6" s="160">
        <f>O6*5</f>
        <v>0</v>
      </c>
      <c r="Q6" s="160">
        <f>J6+K6+L6+M6+P6</f>
        <v>0</v>
      </c>
      <c r="T6" s="122" t="s">
        <v>246</v>
      </c>
      <c r="U6" s="160">
        <v>20</v>
      </c>
    </row>
    <row r="7" spans="1:21" x14ac:dyDescent="0.5">
      <c r="D7" s="122" t="s">
        <v>146</v>
      </c>
      <c r="T7" s="122" t="s">
        <v>247</v>
      </c>
      <c r="U7" s="160">
        <v>5</v>
      </c>
    </row>
    <row r="8" spans="1:21" x14ac:dyDescent="0.5">
      <c r="D8" s="122" t="s">
        <v>148</v>
      </c>
    </row>
    <row r="9" spans="1:21" x14ac:dyDescent="0.5">
      <c r="I9" s="122" t="s">
        <v>1</v>
      </c>
    </row>
    <row r="10" spans="1:21" x14ac:dyDescent="0.5">
      <c r="I10" s="122" t="s">
        <v>1</v>
      </c>
      <c r="J10" s="122" t="s">
        <v>1</v>
      </c>
      <c r="K10" s="122" t="s">
        <v>1</v>
      </c>
      <c r="L10" s="122" t="s">
        <v>1</v>
      </c>
    </row>
    <row r="11" spans="1:21" x14ac:dyDescent="0.5">
      <c r="B11" s="161" t="s">
        <v>248</v>
      </c>
      <c r="J11" s="197" t="s">
        <v>249</v>
      </c>
      <c r="K11" s="197"/>
      <c r="L11" s="197"/>
      <c r="M11" s="197"/>
      <c r="N11" s="197"/>
      <c r="Q11" s="122" t="s">
        <v>250</v>
      </c>
    </row>
    <row r="12" spans="1:21" x14ac:dyDescent="0.5">
      <c r="B12" s="122" t="s">
        <v>226</v>
      </c>
      <c r="C12" s="122" t="s">
        <v>230</v>
      </c>
      <c r="D12" s="122" t="s">
        <v>231</v>
      </c>
      <c r="E12" s="122" t="s">
        <v>232</v>
      </c>
      <c r="F12" s="122" t="s">
        <v>233</v>
      </c>
      <c r="I12" s="122" t="s">
        <v>1</v>
      </c>
      <c r="K12" s="122" t="s">
        <v>202</v>
      </c>
      <c r="L12" s="122" t="s">
        <v>203</v>
      </c>
      <c r="M12" s="122" t="s">
        <v>205</v>
      </c>
      <c r="N12" s="122" t="s">
        <v>251</v>
      </c>
      <c r="P12" s="122" t="s">
        <v>252</v>
      </c>
      <c r="Q12" s="122">
        <f>ROUNDUP(Econ!B4,0)</f>
        <v>24</v>
      </c>
    </row>
    <row r="13" spans="1:21" x14ac:dyDescent="0.5">
      <c r="A13" s="122" t="s">
        <v>1</v>
      </c>
      <c r="B13" s="122" t="s">
        <v>238</v>
      </c>
      <c r="C13" s="122">
        <v>4</v>
      </c>
      <c r="D13" s="122">
        <v>4</v>
      </c>
      <c r="E13" s="122">
        <v>8</v>
      </c>
      <c r="F13" s="122">
        <v>18</v>
      </c>
      <c r="J13" s="122" t="s">
        <v>253</v>
      </c>
      <c r="K13" s="162">
        <v>4.5</v>
      </c>
      <c r="L13" s="163">
        <v>2</v>
      </c>
      <c r="M13" s="122">
        <v>5</v>
      </c>
      <c r="N13" s="162">
        <v>13.5</v>
      </c>
      <c r="P13" s="122" t="s">
        <v>254</v>
      </c>
      <c r="Q13" s="122">
        <f>Militar!B25+Militar!D25+Militar!H25+Militar!J25</f>
        <v>32</v>
      </c>
    </row>
    <row r="14" spans="1:21" x14ac:dyDescent="0.5">
      <c r="B14" s="122" t="s">
        <v>22</v>
      </c>
      <c r="C14" s="122">
        <v>4</v>
      </c>
      <c r="D14" s="122">
        <v>4</v>
      </c>
      <c r="E14" s="122">
        <v>7</v>
      </c>
      <c r="F14" s="122">
        <v>16</v>
      </c>
      <c r="J14" s="122" t="s">
        <v>255</v>
      </c>
      <c r="K14" s="162">
        <v>8</v>
      </c>
      <c r="L14" s="163">
        <v>3</v>
      </c>
      <c r="M14" s="122">
        <v>10</v>
      </c>
      <c r="N14" s="162">
        <v>3.5</v>
      </c>
      <c r="P14" s="164">
        <v>1.5</v>
      </c>
      <c r="Q14" s="122">
        <f>Q12*1.5</f>
        <v>36</v>
      </c>
    </row>
    <row r="15" spans="1:21" x14ac:dyDescent="0.5">
      <c r="B15" s="122" t="s">
        <v>177</v>
      </c>
      <c r="C15" s="122">
        <v>3</v>
      </c>
      <c r="D15" s="122">
        <v>3</v>
      </c>
      <c r="E15" s="122">
        <v>6</v>
      </c>
      <c r="F15" s="122">
        <v>14</v>
      </c>
      <c r="J15" s="122" t="s">
        <v>256</v>
      </c>
      <c r="K15" s="162">
        <v>7.5</v>
      </c>
      <c r="L15" s="163">
        <v>2.75</v>
      </c>
      <c r="M15" s="122">
        <v>10</v>
      </c>
      <c r="N15" s="162">
        <v>5</v>
      </c>
      <c r="P15" s="122" t="s">
        <v>257</v>
      </c>
      <c r="Q15" s="122">
        <f>IF(Militar!B29="Yes",5,0)</f>
        <v>0</v>
      </c>
    </row>
    <row r="16" spans="1:21" x14ac:dyDescent="0.5">
      <c r="B16" s="122" t="s">
        <v>244</v>
      </c>
      <c r="C16" s="122">
        <v>3</v>
      </c>
      <c r="D16" s="122">
        <v>3</v>
      </c>
      <c r="E16" s="122">
        <v>6</v>
      </c>
      <c r="F16" s="122">
        <v>12</v>
      </c>
      <c r="J16" s="122" t="s">
        <v>11</v>
      </c>
      <c r="K16" s="162">
        <v>6</v>
      </c>
      <c r="L16" s="163">
        <v>2.5</v>
      </c>
      <c r="M16" s="122">
        <v>7</v>
      </c>
      <c r="N16" s="162">
        <v>8</v>
      </c>
      <c r="P16" s="122" t="s">
        <v>258</v>
      </c>
      <c r="Q16" s="122">
        <f>IF(Q13&gt;Q14,5,0)</f>
        <v>0</v>
      </c>
      <c r="R16" s="122">
        <f>IF(Q13&lt;Q12,-5,0)</f>
        <v>0</v>
      </c>
      <c r="S16" s="122">
        <f>IF(Q13&gt;(Q12*2),5,0)</f>
        <v>0</v>
      </c>
    </row>
    <row r="17" spans="2:17" x14ac:dyDescent="0.5">
      <c r="B17" s="122" t="s">
        <v>146</v>
      </c>
      <c r="C17" s="122">
        <v>3</v>
      </c>
      <c r="D17" s="122">
        <v>3</v>
      </c>
      <c r="E17" s="122">
        <v>6</v>
      </c>
      <c r="F17" s="122">
        <v>12</v>
      </c>
      <c r="J17" s="122" t="s">
        <v>259</v>
      </c>
      <c r="K17" s="162">
        <v>5.5</v>
      </c>
      <c r="L17" s="163">
        <v>2.25</v>
      </c>
      <c r="M17" s="122">
        <v>6</v>
      </c>
      <c r="N17" s="162">
        <v>9.5</v>
      </c>
      <c r="P17" s="122" t="s">
        <v>260</v>
      </c>
      <c r="Q17" s="122">
        <f>10+Q15+Q16+R16</f>
        <v>10</v>
      </c>
    </row>
    <row r="18" spans="2:17" x14ac:dyDescent="0.5">
      <c r="B18" s="122" t="s">
        <v>148</v>
      </c>
      <c r="C18" s="122">
        <v>3</v>
      </c>
      <c r="D18" s="122">
        <v>3</v>
      </c>
      <c r="E18" s="122">
        <v>6</v>
      </c>
      <c r="F18" s="122">
        <v>12</v>
      </c>
      <c r="J18" s="122" t="s">
        <v>261</v>
      </c>
      <c r="K18" s="162">
        <v>7</v>
      </c>
      <c r="L18" s="163">
        <v>2.75</v>
      </c>
      <c r="M18" s="122">
        <v>9</v>
      </c>
      <c r="N18" s="162">
        <v>6.5</v>
      </c>
      <c r="P18" s="122" t="s">
        <v>262</v>
      </c>
      <c r="Q18" s="122">
        <f>10+Q15+R16+S16</f>
        <v>10</v>
      </c>
    </row>
    <row r="19" spans="2:17" x14ac:dyDescent="0.5">
      <c r="J19" s="122" t="s">
        <v>263</v>
      </c>
      <c r="K19" s="162">
        <v>5</v>
      </c>
      <c r="L19" s="163">
        <v>2.25</v>
      </c>
      <c r="M19" s="122">
        <v>5</v>
      </c>
      <c r="N19" s="162">
        <v>11.5</v>
      </c>
    </row>
    <row r="21" spans="2:17" x14ac:dyDescent="0.5">
      <c r="B21" s="161" t="s">
        <v>264</v>
      </c>
    </row>
    <row r="22" spans="2:17" x14ac:dyDescent="0.5">
      <c r="B22" s="122" t="s">
        <v>226</v>
      </c>
      <c r="C22" s="122" t="s">
        <v>57</v>
      </c>
      <c r="D22" s="122" t="s">
        <v>265</v>
      </c>
      <c r="E22" s="122" t="s">
        <v>266</v>
      </c>
      <c r="F22" s="122" t="s">
        <v>267</v>
      </c>
      <c r="G22" s="122" t="s">
        <v>268</v>
      </c>
      <c r="J22" s="122" t="s">
        <v>255</v>
      </c>
      <c r="M22" s="122" t="s">
        <v>269</v>
      </c>
    </row>
    <row r="23" spans="2:17" x14ac:dyDescent="0.5">
      <c r="B23" s="122" t="s">
        <v>238</v>
      </c>
      <c r="C23" s="122">
        <v>3</v>
      </c>
      <c r="D23" s="122">
        <v>3</v>
      </c>
      <c r="E23" s="122">
        <v>6</v>
      </c>
      <c r="F23" s="122">
        <v>6</v>
      </c>
      <c r="G23" s="122">
        <v>10</v>
      </c>
      <c r="J23" s="122" t="s">
        <v>256</v>
      </c>
    </row>
    <row r="24" spans="2:17" x14ac:dyDescent="0.5">
      <c r="B24" s="122" t="s">
        <v>22</v>
      </c>
      <c r="C24" s="122">
        <v>3</v>
      </c>
      <c r="D24" s="122">
        <v>3</v>
      </c>
      <c r="E24" s="122">
        <v>5</v>
      </c>
      <c r="F24" s="122">
        <v>5</v>
      </c>
      <c r="G24" s="122">
        <v>8</v>
      </c>
      <c r="J24" s="122" t="s">
        <v>261</v>
      </c>
      <c r="M24" s="122" t="str">
        <f>Econ!A71</f>
        <v>Industria</v>
      </c>
      <c r="O24" s="164">
        <f>Econ!C71+Econ!E71</f>
        <v>0.99</v>
      </c>
      <c r="P24" s="164">
        <f>IF(Econ!F71&lt;1,1,((O24-1)/Econ!E71))</f>
        <v>-3.0303030303030328E-2</v>
      </c>
      <c r="Q24" s="164">
        <f>1-P24</f>
        <v>1.0303030303030303</v>
      </c>
    </row>
    <row r="25" spans="2:17" x14ac:dyDescent="0.5">
      <c r="B25" s="122" t="s">
        <v>177</v>
      </c>
      <c r="C25" s="122">
        <v>2</v>
      </c>
      <c r="D25" s="122">
        <v>2</v>
      </c>
      <c r="E25" s="122">
        <v>4</v>
      </c>
      <c r="F25" s="122">
        <v>4</v>
      </c>
      <c r="G25" s="122">
        <v>7</v>
      </c>
      <c r="J25" s="122" t="s">
        <v>11</v>
      </c>
      <c r="M25" s="122" t="str">
        <f>Econ!A72</f>
        <v>Industria</v>
      </c>
      <c r="O25" s="164">
        <f>Econ!C72+Econ!E72</f>
        <v>0.33</v>
      </c>
      <c r="P25" s="164">
        <f>IF(Econ!F72&lt;1,1,((O25-1)/Econ!E72))</f>
        <v>-2.0303030303030298</v>
      </c>
      <c r="Q25" s="164">
        <f>1-P25</f>
        <v>3.0303030303030298</v>
      </c>
    </row>
    <row r="26" spans="2:17" x14ac:dyDescent="0.5">
      <c r="B26" s="122" t="s">
        <v>244</v>
      </c>
      <c r="C26" s="122">
        <v>2</v>
      </c>
      <c r="D26" s="122">
        <v>2</v>
      </c>
      <c r="E26" s="122">
        <v>4</v>
      </c>
      <c r="F26" s="122">
        <v>4</v>
      </c>
      <c r="G26" s="122">
        <v>6</v>
      </c>
      <c r="J26" s="122" t="s">
        <v>259</v>
      </c>
      <c r="M26" s="122" t="str">
        <f>Econ!A80</f>
        <v>Materias Primas</v>
      </c>
      <c r="O26" s="164">
        <f>Econ!C80+Econ!E80</f>
        <v>0.33</v>
      </c>
      <c r="P26" s="164">
        <f>IF(Econ!F80&lt;1,1,((O26-1)/Econ!E80))</f>
        <v>-2.0303030303030298</v>
      </c>
      <c r="Q26" s="164">
        <f>1-P26</f>
        <v>3.0303030303030298</v>
      </c>
    </row>
    <row r="27" spans="2:17" x14ac:dyDescent="0.5">
      <c r="B27" s="122" t="s">
        <v>146</v>
      </c>
      <c r="C27" s="122">
        <v>2</v>
      </c>
      <c r="D27" s="122">
        <v>2</v>
      </c>
      <c r="E27" s="122">
        <v>4</v>
      </c>
      <c r="F27" s="122">
        <v>4</v>
      </c>
      <c r="G27" s="122">
        <v>6</v>
      </c>
      <c r="J27" s="122" t="s">
        <v>263</v>
      </c>
      <c r="M27" s="122" t="str">
        <f>Econ!A81</f>
        <v>Materias Primas</v>
      </c>
      <c r="O27" s="164">
        <f>Econ!C81+Econ!E81</f>
        <v>0.33</v>
      </c>
      <c r="P27" s="164">
        <f>IF(Econ!F81&lt;1,1,((O27-1)/Econ!E81))</f>
        <v>-2.0303030303030298</v>
      </c>
      <c r="Q27" s="164">
        <f>1-P27</f>
        <v>3.0303030303030298</v>
      </c>
    </row>
    <row r="28" spans="2:17" x14ac:dyDescent="0.5">
      <c r="B28" s="122" t="s">
        <v>148</v>
      </c>
      <c r="C28" s="122">
        <v>2</v>
      </c>
      <c r="D28" s="122">
        <v>2</v>
      </c>
      <c r="E28" s="122">
        <v>4</v>
      </c>
      <c r="F28" s="122">
        <v>4</v>
      </c>
      <c r="G28" s="122">
        <v>6</v>
      </c>
      <c r="J28" s="122" t="s">
        <v>253</v>
      </c>
      <c r="M28" s="165" t="str">
        <f>Econ!A82</f>
        <v>Materias Primas</v>
      </c>
      <c r="O28" s="164">
        <f>Econ!C82+Econ!E82</f>
        <v>0.33</v>
      </c>
      <c r="P28" s="164">
        <f>IF(Econ!F82&lt;1,1,((O28-1)/Econ!E82))</f>
        <v>-2.0303030303030298</v>
      </c>
      <c r="Q28" s="164">
        <f>1-P28</f>
        <v>3.0303030303030298</v>
      </c>
    </row>
    <row r="29" spans="2:17" x14ac:dyDescent="0.5">
      <c r="M29" s="122" t="s">
        <v>1</v>
      </c>
    </row>
    <row r="30" spans="2:17" x14ac:dyDescent="0.5">
      <c r="B30" s="122" t="s">
        <v>270</v>
      </c>
    </row>
    <row r="31" spans="2:17" x14ac:dyDescent="0.5">
      <c r="C31" s="122" t="s">
        <v>271</v>
      </c>
      <c r="D31" s="122" t="s">
        <v>272</v>
      </c>
      <c r="E31" s="122" t="s">
        <v>238</v>
      </c>
      <c r="F31" s="122" t="s">
        <v>22</v>
      </c>
      <c r="G31" s="122" t="s">
        <v>177</v>
      </c>
      <c r="H31" s="122" t="s">
        <v>244</v>
      </c>
      <c r="I31" s="122" t="s">
        <v>146</v>
      </c>
      <c r="J31" s="122" t="s">
        <v>148</v>
      </c>
      <c r="M31" s="122" t="s">
        <v>238</v>
      </c>
      <c r="N31" s="164">
        <v>0.15</v>
      </c>
      <c r="Q31" s="122" t="s">
        <v>79</v>
      </c>
    </row>
    <row r="32" spans="2:17" x14ac:dyDescent="0.5">
      <c r="B32" s="122" t="s">
        <v>273</v>
      </c>
      <c r="C32" s="122">
        <v>4</v>
      </c>
      <c r="D32" s="122">
        <v>4</v>
      </c>
      <c r="E32" s="122">
        <v>10</v>
      </c>
      <c r="F32" s="122">
        <v>8</v>
      </c>
      <c r="G32" s="122">
        <v>7</v>
      </c>
      <c r="H32" s="122">
        <v>6</v>
      </c>
      <c r="I32" s="122">
        <v>6</v>
      </c>
      <c r="J32" s="122">
        <v>6</v>
      </c>
      <c r="M32" s="122" t="s">
        <v>22</v>
      </c>
      <c r="N32" s="164">
        <v>0.2</v>
      </c>
      <c r="Q32" s="122" t="s">
        <v>78</v>
      </c>
    </row>
    <row r="33" spans="2:14" x14ac:dyDescent="0.5">
      <c r="B33" s="122" t="s">
        <v>274</v>
      </c>
      <c r="C33" s="122">
        <v>2</v>
      </c>
      <c r="D33" s="122">
        <v>2</v>
      </c>
      <c r="E33" s="122">
        <v>6</v>
      </c>
      <c r="F33" s="122">
        <v>5</v>
      </c>
      <c r="G33" s="122">
        <v>4</v>
      </c>
      <c r="H33" s="122">
        <v>4</v>
      </c>
      <c r="I33" s="122">
        <v>4</v>
      </c>
      <c r="J33" s="122">
        <v>4</v>
      </c>
      <c r="M33" s="122" t="s">
        <v>177</v>
      </c>
      <c r="N33" s="164">
        <v>0.25</v>
      </c>
    </row>
    <row r="34" spans="2:14" x14ac:dyDescent="0.5">
      <c r="B34" s="122" t="s">
        <v>275</v>
      </c>
      <c r="C34" s="122">
        <v>1</v>
      </c>
      <c r="D34" s="122">
        <v>1</v>
      </c>
      <c r="E34" s="122">
        <v>3</v>
      </c>
      <c r="F34" s="122">
        <v>3</v>
      </c>
      <c r="G34" s="122">
        <v>2</v>
      </c>
      <c r="H34" s="122">
        <v>2</v>
      </c>
      <c r="I34" s="122">
        <v>2</v>
      </c>
      <c r="J34" s="122">
        <v>2</v>
      </c>
      <c r="M34" s="122" t="s">
        <v>244</v>
      </c>
      <c r="N34" s="164">
        <v>0.3</v>
      </c>
    </row>
    <row r="35" spans="2:14" x14ac:dyDescent="0.5">
      <c r="B35" s="122" t="s">
        <v>174</v>
      </c>
      <c r="C35" s="122">
        <v>1</v>
      </c>
      <c r="D35" s="122">
        <v>1</v>
      </c>
      <c r="E35" s="122">
        <v>3</v>
      </c>
      <c r="F35" s="122">
        <v>3</v>
      </c>
      <c r="G35" s="122">
        <v>2</v>
      </c>
      <c r="H35" s="122">
        <v>2</v>
      </c>
      <c r="I35" s="122">
        <v>2</v>
      </c>
      <c r="J35" s="122">
        <v>2</v>
      </c>
      <c r="M35" s="122" t="s">
        <v>146</v>
      </c>
      <c r="N35" s="164">
        <v>0.35</v>
      </c>
    </row>
    <row r="36" spans="2:14" x14ac:dyDescent="0.5">
      <c r="B36" s="122" t="s">
        <v>131</v>
      </c>
      <c r="C36" s="122">
        <v>2</v>
      </c>
      <c r="D36" s="122">
        <v>2</v>
      </c>
      <c r="E36" s="122">
        <v>6</v>
      </c>
      <c r="F36" s="122">
        <v>5</v>
      </c>
      <c r="G36" s="122">
        <v>4</v>
      </c>
      <c r="H36" s="122">
        <v>4</v>
      </c>
      <c r="I36" s="122">
        <v>4</v>
      </c>
      <c r="J36" s="122">
        <v>4</v>
      </c>
      <c r="M36" s="122" t="s">
        <v>148</v>
      </c>
      <c r="N36" s="164">
        <v>0.4</v>
      </c>
    </row>
    <row r="37" spans="2:14" x14ac:dyDescent="0.5">
      <c r="B37" s="122" t="s">
        <v>175</v>
      </c>
      <c r="C37" s="122">
        <v>2</v>
      </c>
      <c r="D37" s="122">
        <v>2</v>
      </c>
      <c r="E37" s="122">
        <v>4</v>
      </c>
      <c r="F37" s="122">
        <v>4</v>
      </c>
      <c r="G37" s="122">
        <v>4</v>
      </c>
      <c r="H37" s="122">
        <v>4</v>
      </c>
      <c r="I37" s="122">
        <v>4</v>
      </c>
      <c r="J37" s="122">
        <v>4</v>
      </c>
    </row>
    <row r="39" spans="2:14" x14ac:dyDescent="0.5">
      <c r="D39" s="122" t="s">
        <v>276</v>
      </c>
    </row>
    <row r="40" spans="2:14" x14ac:dyDescent="0.5">
      <c r="B40" s="122" t="s">
        <v>238</v>
      </c>
      <c r="C40" s="122">
        <v>4</v>
      </c>
      <c r="D40" s="122">
        <v>1</v>
      </c>
      <c r="E40" s="122" t="e">
        <f>VLOOKUP(Econ!E151,ShipQlookup,2)</f>
        <v>#N/A</v>
      </c>
    </row>
    <row r="41" spans="2:14" x14ac:dyDescent="0.5">
      <c r="B41" s="122" t="s">
        <v>22</v>
      </c>
      <c r="C41" s="122">
        <v>5</v>
      </c>
      <c r="D41" s="122">
        <v>2</v>
      </c>
      <c r="E41" s="122" t="e">
        <f>VLOOKUP(Econ!E152,ShipQlookup,2)</f>
        <v>#N/A</v>
      </c>
    </row>
    <row r="42" spans="2:14" x14ac:dyDescent="0.5">
      <c r="B42" s="122" t="s">
        <v>177</v>
      </c>
      <c r="C42" s="122">
        <v>6</v>
      </c>
      <c r="D42" s="122">
        <v>3</v>
      </c>
      <c r="E42" s="122" t="e">
        <f>VLOOKUP(Econ!E152,ShipQlookup,2)</f>
        <v>#N/A</v>
      </c>
    </row>
    <row r="43" spans="2:14" x14ac:dyDescent="0.5">
      <c r="B43" s="122" t="s">
        <v>244</v>
      </c>
      <c r="C43" s="122">
        <v>7</v>
      </c>
      <c r="D43" s="122">
        <v>4</v>
      </c>
      <c r="E43" s="122" t="e">
        <f>VLOOKUP(Econ!E153,ShipQlookup,2)</f>
        <v>#N/A</v>
      </c>
    </row>
    <row r="44" spans="2:14" x14ac:dyDescent="0.5">
      <c r="B44" s="122" t="s">
        <v>146</v>
      </c>
      <c r="C44" s="122">
        <v>8</v>
      </c>
      <c r="D44" s="122">
        <v>5</v>
      </c>
      <c r="E44" s="122" t="e">
        <f>VLOOKUP(Econ!E154,ShipQlookup,2)</f>
        <v>#N/A</v>
      </c>
    </row>
    <row r="45" spans="2:14" x14ac:dyDescent="0.5">
      <c r="B45" s="122" t="s">
        <v>148</v>
      </c>
      <c r="C45" s="122">
        <v>9</v>
      </c>
      <c r="D45" s="122">
        <v>6</v>
      </c>
      <c r="E45" s="122" t="e">
        <f>VLOOKUP(Econ!E155,ShipQlookup,2)</f>
        <v>#N/A</v>
      </c>
    </row>
    <row r="46" spans="2:14" x14ac:dyDescent="0.5">
      <c r="D46" s="122">
        <v>7</v>
      </c>
      <c r="E46" s="122" t="e">
        <f>VLOOKUP(Econ!E156,ShipQlookup,2)</f>
        <v>#N/A</v>
      </c>
    </row>
  </sheetData>
  <mergeCells count="4">
    <mergeCell ref="I1:I2"/>
    <mergeCell ref="P1:P2"/>
    <mergeCell ref="Q1:Q2"/>
    <mergeCell ref="J11:N11"/>
  </mergeCells>
  <pageMargins left="0.7" right="0.7" top="0.75" bottom="0.75" header="0.51180555555555496" footer="0.51180555555555496"/>
  <pageSetup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Cody, Glen (Ext)</dc:creator>
  <dc:description/>
  <cp:lastModifiedBy>Néstor Seguí Martínez</cp:lastModifiedBy>
  <cp:revision>4</cp:revision>
  <dcterms:created xsi:type="dcterms:W3CDTF">2017-05-12T13:11:48Z</dcterms:created>
  <dcterms:modified xsi:type="dcterms:W3CDTF">2021-05-02T22:24:16Z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Novartis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SIP_Label_f42aa342-8706-4288-bd11-ebb85995028c_ActionId">
    <vt:lpwstr>192b51a1-ae0d-4d6b-a121-f3b522b3f5a6</vt:lpwstr>
  </property>
  <property fmtid="{D5CDD505-2E9C-101B-9397-08002B2CF9AE}" pid="8" name="MSIP_Label_f42aa342-8706-4288-bd11-ebb85995028c_ContentBits">
    <vt:lpwstr>0</vt:lpwstr>
  </property>
  <property fmtid="{D5CDD505-2E9C-101B-9397-08002B2CF9AE}" pid="9" name="MSIP_Label_f42aa342-8706-4288-bd11-ebb85995028c_Enabled">
    <vt:lpwstr>true</vt:lpwstr>
  </property>
  <property fmtid="{D5CDD505-2E9C-101B-9397-08002B2CF9AE}" pid="10" name="MSIP_Label_f42aa342-8706-4288-bd11-ebb85995028c_Method">
    <vt:lpwstr>Standard</vt:lpwstr>
  </property>
  <property fmtid="{D5CDD505-2E9C-101B-9397-08002B2CF9AE}" pid="11" name="MSIP_Label_f42aa342-8706-4288-bd11-ebb85995028c_Name">
    <vt:lpwstr>Internal</vt:lpwstr>
  </property>
  <property fmtid="{D5CDD505-2E9C-101B-9397-08002B2CF9AE}" pid="12" name="MSIP_Label_f42aa342-8706-4288-bd11-ebb85995028c_SetDate">
    <vt:lpwstr>2020-07-12T10:31:42Z</vt:lpwstr>
  </property>
  <property fmtid="{D5CDD505-2E9C-101B-9397-08002B2CF9AE}" pid="13" name="MSIP_Label_f42aa342-8706-4288-bd11-ebb85995028c_SiteId">
    <vt:lpwstr>72f988bf-86f1-41af-91ab-2d7cd011db47</vt:lpwstr>
  </property>
  <property fmtid="{D5CDD505-2E9C-101B-9397-08002B2CF9AE}" pid="14" name="ScaleCrop">
    <vt:bool>false</vt:bool>
  </property>
  <property fmtid="{D5CDD505-2E9C-101B-9397-08002B2CF9AE}" pid="15" name="ShareDoc">
    <vt:bool>false</vt:bool>
  </property>
  <property fmtid="{D5CDD505-2E9C-101B-9397-08002B2CF9AE}" pid="16" name="Workbook id">
    <vt:lpwstr>1c2c7f19-dca1-43a0-9ebe-eae97200b718</vt:lpwstr>
  </property>
  <property fmtid="{D5CDD505-2E9C-101B-9397-08002B2CF9AE}" pid="17" name="Workbook type">
    <vt:lpwstr>Custom</vt:lpwstr>
  </property>
  <property fmtid="{D5CDD505-2E9C-101B-9397-08002B2CF9AE}" pid="18" name="Workbook version">
    <vt:lpwstr>Custom</vt:lpwstr>
  </property>
</Properties>
</file>