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6AA747EF-2E3D-4CE1-AFD5-A4F4E02DE5A1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4" l="1"/>
  <c r="M7" i="4"/>
  <c r="N7" i="4"/>
  <c r="O7" i="4"/>
  <c r="P7" i="4"/>
  <c r="K7" i="4"/>
  <c r="E7" i="4"/>
  <c r="F7" i="4"/>
  <c r="G7" i="4"/>
  <c r="H7" i="4"/>
  <c r="I7" i="4"/>
  <c r="D7" i="4"/>
  <c r="B19" i="4"/>
  <c r="B20" i="4"/>
  <c r="B18" i="4" l="1"/>
  <c r="B21" i="4"/>
  <c r="B22" i="4"/>
  <c r="B17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<sst xmlns="http://schemas.openxmlformats.org/spreadsheetml/2006/main" count="622" uniqueCount="286">
  <si>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</si>
  <si>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</si>
  <si>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</si>
  <si>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</si>
  <si>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</si>
  <si>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</si>
  <si>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</si>
  <si>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</si>
  <si>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</si>
  <si>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</si>
  <si>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</si>
  <si>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</si>
  <si>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</si>
  <si>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</si>
  <si>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</si>
  <si>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</si>
  <si>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</si>
  <si>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</si>
  <si>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</si>
  <si>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</si>
  <si>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</si>
  <si>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</si>
  <si>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</si>
  <si>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</si>
  <si>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</si>
  <si>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</si>
  <si>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</si>
  <si>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</si>
  <si>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</si>
  <si>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</si>
  <si>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</si>
  <si>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</si>
  <si>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</si>
  <si>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</si>
  <si>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</si>
  <si>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</si>
  <si>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</si>
  <si>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</si>
  <si>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</si>
  <si>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</si>
  <si>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</si>
  <si>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</si>
  <si>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</si>
  <si>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</si>
  <si>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</si>
  <si>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</si>
  <si>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</si>
  <si>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</si>
  <si>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</si>
  <si>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</si>
  <si>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</si>
  <si>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</si>
  <si>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</si>
  <si>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</si>
  <si>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</si>
  <si>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</si>
  <si>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</si>
  <si>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</si>
  <si>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</si>
  <si>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</si>
  <si>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</si>
  <si>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</si>
  <si>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</si>
  <si>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</si>
  <si>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</si>
  <si>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</si>
  <si>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</si>
  <si>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</si>
  <si>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</si>
  <si>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</si>
  <si>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</si>
  <si>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</si>
  <si>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</si>
  <si>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</si>
  <si>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</si>
  <si>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</si>
  <si>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</si>
  <si>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</si>
  <si>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</si>
  <si>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</si>
  <si>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</si>
  <si>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</si>
  <si>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</si>
  <si>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</si>
  <si>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</si>
  <si>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</si>
  <si>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</si>
  <si>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</si>
  <si>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</si>
  <si>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</si>
  <si>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</si>
  <si>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</si>
  <si>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</si>
  <si>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</si>
  <si>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</si>
  <si>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</si>
  <si>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</si>
  <si>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</si>
  <si>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</si>
  <si>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</si>
  <si>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</si>
  <si>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</si>
  <si>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</si>
  <si>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</si>
  <si>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</si>
  <si>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</si>
  <si>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</si>
  <si>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</si>
  <si>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</si>
  <si>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</si>
  <si>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</si>
  <si>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</si>
  <si>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</si>
  <si>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</si>
  <si>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</si>
  <si>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</si>
  <si>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</si>
  <si>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</si>
  <si>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</si>
  <si>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</si>
  <si>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</si>
  <si>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</si>
  <si>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</si>
  <si>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</si>
  <si>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</si>
  <si>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</si>
  <si>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</si>
  <si>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</si>
  <si>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</si>
  <si>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</si>
  <si>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</si>
  <si>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</si>
  <si>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</si>
  <si>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</si>
  <si>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</si>
  <si>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</si>
  <si>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</si>
  <si>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</si>
  <si>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</si>
  <si>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</si>
  <si>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</si>
  <si>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</si>
  <si>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</si>
  <si>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</si>
  <si>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</si>
  <si>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</si>
  <si>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</si>
  <si>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</si>
  <si>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</si>
  <si>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</si>
  <si>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</si>
  <si>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</si>
  <si>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</si>
  <si>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</si>
  <si>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</si>
  <si>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</si>
  <si>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</si>
  <si>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</si>
  <si>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</si>
  <si>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</si>
  <si>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</si>
  <si>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</si>
  <si>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</si>
  <si>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</si>
  <si>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</si>
  <si>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</si>
  <si>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</si>
  <si>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</si>
  <si>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</si>
  <si>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</si>
  <si>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</si>
  <si>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</si>
  <si>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</si>
  <si>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</si>
  <si>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</si>
  <si>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</si>
  <si>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</si>
  <si>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</si>
  <si>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</si>
  <si>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</si>
  <si>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</si>
  <si>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</si>
  <si>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</si>
  <si>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</si>
  <si>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</si>
  <si>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</si>
  <si>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</si>
  <si>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</si>
  <si>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</si>
  <si>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</si>
  <si>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</si>
  <si>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</si>
  <si>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</si>
  <si>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</si>
  <si>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</si>
  <si>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</si>
  <si>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</si>
  <si>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</si>
  <si>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</si>
  <si>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</si>
  <si>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</si>
  <si>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</si>
  <si>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</si>
  <si>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</si>
  <si>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</si>
  <si>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</si>
  <si>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</si>
  <si>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</si>
  <si>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</si>
  <si>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</si>
  <si>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</si>
  <si>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</si>
  <si>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</si>
  <si>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</si>
  <si>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</si>
  <si>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</si>
  <si>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</si>
  <si>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</si>
  <si>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</si>
  <si>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</si>
  <si>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</si>
  <si>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</si>
  <si>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</si>
  <si>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</si>
  <si>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</si>
  <si>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</si>
  <si>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</si>
  <si>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</si>
  <si>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</si>
  <si>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</si>
  <si>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</si>
  <si>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</si>
  <si>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</si>
  <si>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</si>
  <si>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</si>
  <si>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</si>
  <si>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</si>
  <si>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</si>
  <si>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</si>
  <si>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</si>
  <si>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</si>
  <si>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</si>
  <si>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</si>
  <si>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</si>
  <si>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</si>
  <si>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</si>
  <si>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</si>
  <si>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</si>
  <si>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</si>
  <si>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</si>
  <si>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</si>
  <si>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</si>
  <si>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</si>
  <si>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</si>
  <si>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</si>
  <si>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</si>
  <si>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</si>
  <si>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</si>
  <si>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</si>
  <si>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</si>
  <si>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</si>
  <si>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</si>
  <si>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</si>
  <si>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</si>
  <si>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</si>
  <si>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</si>
  <si>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</si>
  <si>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</si>
  <si>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Hawai (no definido)</t>
  </si>
  <si>
    <t>Colombia (no definido)</t>
  </si>
  <si>
    <t>Argentina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</si>
  <si>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</si>
  <si>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</si>
  <si>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</si>
  <si>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</si>
  <si>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</si>
  <si>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</si>
  <si>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</si>
  <si>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</si>
  <si>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En Stock: 2AC-D // 1 AA-D</t>
  </si>
  <si>
    <t>A lo largo de 1896</t>
  </si>
  <si>
    <t>Exótico en Hawai y China</t>
  </si>
  <si>
    <t>Ferrocarril Argentina</t>
  </si>
  <si>
    <t>Ferocarril México</t>
  </si>
  <si>
    <t>Atlantico Sur: Buenos Aires</t>
  </si>
  <si>
    <t>Atlantico: Nueva York, Filadelphia, Boston, Baltimore, Annapolis. // Pacífico: San Fransisco, Seattle, Los Angeles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</si>
</sst>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3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6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6" fontId="0" fillId="5" borderId="29" xfId="0" applyNumberFormat="1" applyFill="1" applyBorder="1" applyAlignment="1">
      <alignment horizontal="center" vertical="center"/>
    </xf>
    <xf numFmtId="42" fontId="0" fillId="5" borderId="37" xfId="0" applyNumberFormat="1" applyFill="1" applyBorder="1"/>
    <xf numFmtId="42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199" t="s">
        <v>230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245</v>
      </c>
      <c r="G3" s="85" t="s">
        <v>76</v>
      </c>
      <c r="H3" s="85">
        <v>1897</v>
      </c>
    </row>
    <row r="4" spans="1:16" ht="18" thickBot="1" x14ac:dyDescent="0.55000000000000004">
      <c r="A4" s="85" t="s">
        <v>62</v>
      </c>
      <c r="B4" s="85">
        <v>48.6</v>
      </c>
      <c r="C4" s="86"/>
      <c r="G4" s="85" t="s">
        <v>77</v>
      </c>
      <c r="H4" s="85" t="s">
        <v>246</v>
      </c>
    </row>
    <row r="5" spans="1:16" ht="18" thickBot="1" x14ac:dyDescent="0.55000000000000004">
      <c r="A5" s="85" t="s">
        <v>63</v>
      </c>
      <c r="B5" s="87">
        <f>B4-Militar!P12</f>
        <v>37.56</v>
      </c>
      <c r="D5" s="188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196" t="s">
        <v>65</v>
      </c>
      <c r="B7" s="198"/>
      <c r="D7" s="179"/>
      <c r="G7" s="201" t="s">
        <v>78</v>
      </c>
      <c r="H7" s="201"/>
      <c r="I7" s="88">
        <v>0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356.82000000000005</v>
      </c>
      <c r="C8" s="90"/>
      <c r="D8" s="179"/>
      <c r="G8" s="201" t="s">
        <v>79</v>
      </c>
      <c r="H8" s="201"/>
      <c r="I8" s="88">
        <f>I7*J13</f>
        <v>0</v>
      </c>
    </row>
    <row r="9" spans="1:16" ht="18" thickBot="1" x14ac:dyDescent="0.55000000000000004">
      <c r="A9" s="85" t="s">
        <v>73</v>
      </c>
      <c r="B9" s="88">
        <f>Colonias!C7+Ferrocarriles!D1</f>
        <v>76</v>
      </c>
      <c r="C9" s="90"/>
      <c r="H9" s="85" t="s">
        <v>2</v>
      </c>
      <c r="I9" s="88">
        <f>SUM(I7:I8)</f>
        <v>0</v>
      </c>
      <c r="J9" s="91"/>
    </row>
    <row r="10" spans="1:16" ht="18" thickBot="1" x14ac:dyDescent="0.55000000000000004">
      <c r="A10" s="85" t="s">
        <v>74</v>
      </c>
      <c r="B10" s="88">
        <v>1</v>
      </c>
    </row>
    <row r="11" spans="1:16" ht="18" thickBot="1" x14ac:dyDescent="0.55000000000000004">
      <c r="A11" s="85" t="s">
        <v>75</v>
      </c>
      <c r="B11" s="88">
        <f>Militar!O12</f>
        <v>115</v>
      </c>
      <c r="J11" s="92"/>
      <c r="K11" s="202"/>
    </row>
    <row r="12" spans="1:16" ht="19.5" customHeight="1" thickBot="1" x14ac:dyDescent="0.55000000000000004">
      <c r="A12" s="92"/>
      <c r="B12" s="93"/>
      <c r="C12" s="92"/>
      <c r="D12" s="202"/>
      <c r="G12" s="200"/>
      <c r="H12" s="200"/>
      <c r="I12" s="94"/>
      <c r="J12" s="85" t="s">
        <v>81</v>
      </c>
      <c r="K12" s="202"/>
    </row>
    <row r="13" spans="1:16" ht="18" thickBot="1" x14ac:dyDescent="0.55000000000000004">
      <c r="A13" s="92"/>
      <c r="B13" s="93"/>
      <c r="C13" s="92"/>
      <c r="D13" s="202"/>
      <c r="G13" s="201" t="s">
        <v>80</v>
      </c>
      <c r="H13" s="201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318.82000000000005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199" t="s">
        <v>232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03" t="s">
        <v>86</v>
      </c>
      <c r="J20" s="203"/>
      <c r="K20" s="203"/>
      <c r="L20" s="203"/>
      <c r="M20" s="203"/>
      <c r="N20" s="203"/>
    </row>
    <row r="21" spans="1:17" ht="18.399999999999999" thickTop="1" thickBot="1" x14ac:dyDescent="0.55000000000000004">
      <c r="A21" s="85" t="s">
        <v>82</v>
      </c>
      <c r="B21" s="85">
        <v>21</v>
      </c>
      <c r="C21" s="85">
        <v>25</v>
      </c>
      <c r="D21" s="85">
        <v>8</v>
      </c>
      <c r="E21" s="85">
        <v>0</v>
      </c>
      <c r="F21" s="85">
        <v>5</v>
      </c>
      <c r="G21" s="85">
        <v>5</v>
      </c>
      <c r="I21" s="97"/>
      <c r="J21" s="97"/>
      <c r="K21" s="203" t="s">
        <v>89</v>
      </c>
      <c r="L21" s="203"/>
      <c r="M21" s="203" t="s">
        <v>90</v>
      </c>
      <c r="N21" s="203"/>
    </row>
    <row r="22" spans="1:17" ht="18.399999999999999" thickTop="1" thickBot="1" x14ac:dyDescent="0.55000000000000004">
      <c r="A22" s="85" t="s">
        <v>83</v>
      </c>
      <c r="B22" s="85">
        <v>0</v>
      </c>
      <c r="C22" s="85">
        <v>0</v>
      </c>
      <c r="D22" s="85">
        <v>1</v>
      </c>
      <c r="E22" s="85">
        <v>2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21</v>
      </c>
      <c r="C23" s="85">
        <f t="shared" ref="C23:G23" si="0">SUM(C21:C22)</f>
        <v>25</v>
      </c>
      <c r="D23" s="85">
        <f t="shared" si="0"/>
        <v>9</v>
      </c>
      <c r="E23" s="85">
        <f t="shared" si="0"/>
        <v>2</v>
      </c>
      <c r="F23" s="85">
        <f t="shared" si="0"/>
        <v>5</v>
      </c>
      <c r="G23" s="85">
        <f t="shared" si="0"/>
        <v>5</v>
      </c>
      <c r="I23" s="97" t="s">
        <v>91</v>
      </c>
      <c r="J23" s="98">
        <v>26</v>
      </c>
      <c r="K23" s="98">
        <f>J23+(J23*0.3)</f>
        <v>33.799999999999997</v>
      </c>
      <c r="L23" s="98">
        <f>J23-(J23*0.3)</f>
        <v>18.2</v>
      </c>
      <c r="M23" s="98">
        <f>J23-(J23*0.2)</f>
        <v>20.8</v>
      </c>
      <c r="N23" s="98">
        <f>J23+(J23*0.2)</f>
        <v>31.2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8.836363636363636</v>
      </c>
      <c r="C24" s="99">
        <f>ROUNDUP(B4/(VLOOKUP(B6,Econ_chart,3,FALSE)),0)</f>
        <v>22</v>
      </c>
      <c r="D24" s="99">
        <v>0</v>
      </c>
      <c r="E24" s="99">
        <f>ROUNDUP(B4/(VLOOKUP(B6,Econ_chart,4,FALSE)),0)</f>
        <v>9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-8.836363636363636</v>
      </c>
      <c r="C25" s="101">
        <f>C21-C24</f>
        <v>3</v>
      </c>
      <c r="D25" s="102">
        <f>D23</f>
        <v>9</v>
      </c>
      <c r="E25" s="101">
        <f>E23-E24</f>
        <v>-7</v>
      </c>
      <c r="F25" s="102">
        <f>F23</f>
        <v>5</v>
      </c>
      <c r="G25" s="102">
        <f>G23</f>
        <v>5</v>
      </c>
      <c r="I25" s="97" t="s">
        <v>93</v>
      </c>
      <c r="J25" s="98">
        <v>11</v>
      </c>
      <c r="K25" s="98">
        <f t="shared" si="1"/>
        <v>14.3</v>
      </c>
      <c r="L25" s="98">
        <f t="shared" si="2"/>
        <v>7.7</v>
      </c>
      <c r="M25" s="98">
        <f t="shared" si="3"/>
        <v>8.8000000000000007</v>
      </c>
      <c r="N25" s="98">
        <f t="shared" si="4"/>
        <v>13.2</v>
      </c>
    </row>
    <row r="26" spans="1:17" ht="18.399999999999999" thickTop="1" thickBot="1" x14ac:dyDescent="0.55000000000000004">
      <c r="A26" s="105" t="s">
        <v>281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105" t="s">
        <v>274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92"/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04" t="s">
        <v>98</v>
      </c>
      <c r="P29" s="204"/>
      <c r="Q29" s="204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89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1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222</v>
      </c>
    </row>
    <row r="35" spans="1:16" ht="18" thickBot="1" x14ac:dyDescent="0.55000000000000004">
      <c r="A35" s="85" t="s">
        <v>105</v>
      </c>
      <c r="B35" s="106">
        <f>B33-B51</f>
        <v>1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199" t="s">
        <v>231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</row>
    <row r="38" spans="1:16" ht="18" thickBot="1" x14ac:dyDescent="0.55000000000000004"/>
    <row r="39" spans="1:16" ht="18" thickBot="1" x14ac:dyDescent="0.55000000000000004">
      <c r="B39" s="196" t="s">
        <v>109</v>
      </c>
      <c r="C39" s="197"/>
      <c r="D39" s="198"/>
      <c r="J39" s="196" t="s">
        <v>110</v>
      </c>
      <c r="K39" s="197"/>
      <c r="L39" s="197"/>
      <c r="M39" s="198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275</v>
      </c>
      <c r="B42" s="146">
        <v>2</v>
      </c>
      <c r="C42" s="146"/>
      <c r="D42" s="146"/>
      <c r="E42" s="146"/>
      <c r="F42" s="146"/>
      <c r="G42" s="146"/>
      <c r="H42" s="146">
        <v>62</v>
      </c>
      <c r="J42" s="146"/>
      <c r="K42" s="146"/>
      <c r="L42" s="146">
        <v>4</v>
      </c>
      <c r="M42" s="146">
        <v>2</v>
      </c>
      <c r="N42" s="146"/>
      <c r="O42" s="146"/>
      <c r="P42" s="146">
        <v>44</v>
      </c>
    </row>
    <row r="43" spans="1:16" x14ac:dyDescent="0.5">
      <c r="A43" s="145" t="s">
        <v>268</v>
      </c>
      <c r="B43" s="146"/>
      <c r="C43" s="146"/>
      <c r="D43" s="146"/>
      <c r="E43" s="146"/>
      <c r="F43" s="146"/>
      <c r="G43" s="146"/>
      <c r="H43" s="147">
        <v>11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269</v>
      </c>
      <c r="B44" s="146">
        <v>1</v>
      </c>
      <c r="C44" s="146"/>
      <c r="D44" s="146"/>
      <c r="E44" s="146"/>
      <c r="F44" s="146"/>
      <c r="G44" s="146"/>
      <c r="H44" s="147">
        <v>33</v>
      </c>
      <c r="J44" s="146"/>
      <c r="K44" s="146"/>
      <c r="L44" s="146"/>
      <c r="M44" s="146">
        <v>3</v>
      </c>
      <c r="N44" s="146"/>
      <c r="O44" s="146"/>
      <c r="P44" s="146">
        <v>24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-106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68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Colonias!D32</f>
        <v>0</v>
      </c>
      <c r="C55" s="85">
        <f>Colonias!E32</f>
        <v>0</v>
      </c>
      <c r="D55" s="85">
        <f>Colonias!F32</f>
        <v>0</v>
      </c>
      <c r="E55" s="85">
        <f>Colonias!G32</f>
        <v>0</v>
      </c>
      <c r="F55" s="85">
        <f>Colonias!H32</f>
        <v>0</v>
      </c>
      <c r="G55" s="85">
        <f>Colonias!I32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-11.836363636363636</v>
      </c>
      <c r="C56" s="99">
        <f t="shared" si="9"/>
        <v>3</v>
      </c>
      <c r="D56" s="99">
        <f t="shared" si="9"/>
        <v>13</v>
      </c>
      <c r="E56" s="99">
        <f t="shared" si="9"/>
        <v>-1</v>
      </c>
      <c r="F56" s="99">
        <f t="shared" si="9"/>
        <v>5</v>
      </c>
      <c r="G56" s="99">
        <f t="shared" si="9"/>
        <v>5</v>
      </c>
      <c r="H56" s="114">
        <f>B15+H53+P53</f>
        <v>280.82000000000005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0</v>
      </c>
      <c r="F63" s="115"/>
      <c r="G63" s="115"/>
      <c r="H63" s="88">
        <f>E63*6</f>
        <v>0</v>
      </c>
      <c r="I63" s="85">
        <f>E63</f>
        <v>0</v>
      </c>
    </row>
    <row r="64" spans="1:17" ht="18" thickBot="1" x14ac:dyDescent="0.55000000000000004">
      <c r="A64" s="83" t="s">
        <v>60</v>
      </c>
      <c r="B64" s="99">
        <f>B56+B60+(B61*2)</f>
        <v>-11.836363636363636</v>
      </c>
      <c r="C64" s="99">
        <f>C56</f>
        <v>3</v>
      </c>
      <c r="D64" s="99">
        <f>D56-D60</f>
        <v>13</v>
      </c>
      <c r="E64" s="99">
        <f>E63+E56</f>
        <v>-1</v>
      </c>
      <c r="F64" s="99">
        <f>F56-F61-F62</f>
        <v>5</v>
      </c>
      <c r="G64" s="99">
        <f>G56-G61-G62</f>
        <v>5</v>
      </c>
      <c r="H64" s="114">
        <f>H56-H63</f>
        <v>280.82000000000005</v>
      </c>
      <c r="I64" s="85">
        <f>B23-I60-I61-I62-I63</f>
        <v>21</v>
      </c>
    </row>
    <row r="66" spans="1:16" x14ac:dyDescent="0.5">
      <c r="A66" s="199" t="s">
        <v>137</v>
      </c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</row>
    <row r="68" spans="1:16" ht="18" thickBot="1" x14ac:dyDescent="0.55000000000000004">
      <c r="A68" s="116" t="s">
        <v>237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16" t="s">
        <v>127</v>
      </c>
      <c r="B69" s="216" t="s">
        <v>117</v>
      </c>
      <c r="C69" s="216" t="s">
        <v>244</v>
      </c>
      <c r="D69" s="216" t="s">
        <v>126</v>
      </c>
      <c r="E69" s="205" t="s">
        <v>119</v>
      </c>
      <c r="F69" s="205" t="s">
        <v>118</v>
      </c>
      <c r="G69" s="209" t="s">
        <v>117</v>
      </c>
      <c r="H69" s="209" t="s">
        <v>121</v>
      </c>
    </row>
    <row r="70" spans="1:16" ht="18" thickBot="1" x14ac:dyDescent="0.55000000000000004">
      <c r="A70" s="217"/>
      <c r="B70" s="217"/>
      <c r="C70" s="217"/>
      <c r="D70" s="217"/>
      <c r="E70" s="206"/>
      <c r="F70" s="206"/>
      <c r="G70" s="210"/>
      <c r="H70" s="210"/>
    </row>
    <row r="71" spans="1:16" ht="18" thickBot="1" x14ac:dyDescent="0.55000000000000004">
      <c r="A71" s="85" t="s">
        <v>135</v>
      </c>
      <c r="B71" s="88">
        <v>50</v>
      </c>
      <c r="C71" s="95">
        <v>0.33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90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90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90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</row>
    <row r="83" spans="1:13" ht="18" thickBot="1" x14ac:dyDescent="0.55000000000000004">
      <c r="A83" s="145"/>
      <c r="B83" s="88" t="str">
        <f>IF(A83="","",VLOOKUP(A83,Colonias!$B$17:$E$22,4,FALSE))</f>
        <v/>
      </c>
      <c r="C83" s="95">
        <f>IF(A83="",0,VLOOKUP(A83,Colonias!$B$17:$F$22,5,FALSE))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IF(A83="","No",VLOOKUP(A83,Colonias!$B$17:$G$22,6,FALSE))</f>
        <v>No</v>
      </c>
      <c r="I83" s="86"/>
      <c r="M83" s="178"/>
    </row>
    <row r="84" spans="1:13" ht="18" thickBot="1" x14ac:dyDescent="0.55000000000000004">
      <c r="A84" s="145"/>
      <c r="B84" s="88" t="str">
        <f>IF(A84="","",VLOOKUP(A84,Colonias!$B$17:$E$22,4,FALSE))</f>
        <v/>
      </c>
      <c r="C84" s="95">
        <f>IF(A84="",0,VLOOKUP(A84,Colonias!$B$17:$F$22,5,FALSE))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IF(A84="","No",VLOOKUP(A84,Colonias!$B$17:$G$22,6,FALSE))</f>
        <v>No</v>
      </c>
      <c r="I84" s="86"/>
    </row>
    <row r="85" spans="1:13" ht="18" thickBot="1" x14ac:dyDescent="0.55000000000000004">
      <c r="A85" s="145"/>
      <c r="B85" s="88" t="str">
        <f>IF(A85="","",VLOOKUP(A85,Colonias!$B$17:$E$22,4,FALSE))</f>
        <v/>
      </c>
      <c r="C85" s="95">
        <f>IF(A85="",0,VLOOKUP(A85,Colonias!$B$17:$F$22,5,FALSE))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IF(A85="","No",VLOOKUP(A85,Colonias!$B$17:$G$22,6,FALSE))</f>
        <v>No</v>
      </c>
      <c r="I85" s="86"/>
    </row>
    <row r="86" spans="1:13" ht="18" thickBot="1" x14ac:dyDescent="0.55000000000000004">
      <c r="A86" s="145"/>
      <c r="B86" s="88" t="str">
        <f>IF(A86="","",VLOOKUP(A86,Colonias!$B$17:$E$22,4,FALSE))</f>
        <v/>
      </c>
      <c r="C86" s="95">
        <f>IF(A86="",0,VLOOKUP(A86,Colonias!$B$17:$F$22,5,FALSE))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IF(A86="","No",VLOOKUP(A86,Colonias!$B$17:$G$22,6,FALSE))</f>
        <v>No</v>
      </c>
      <c r="I86" s="86"/>
    </row>
    <row r="87" spans="1:13" ht="18" thickBot="1" x14ac:dyDescent="0.55000000000000004">
      <c r="A87" s="145"/>
      <c r="B87" s="88" t="str">
        <f>IF(A87="","",VLOOKUP(A87,Colonias!$B$17:$E$22,4,FALSE))</f>
        <v/>
      </c>
      <c r="C87" s="95">
        <f>IF(A87="",0,VLOOKUP(A87,Colonias!$B$17:$F$22,5,FALSE))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IF(A87="","No",VLOOKUP(A87,Colonias!$B$17:$G$22,6,FALSE))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238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IF(A91="","",VLOOKUP(A91,Ferrocarriles!$G$5:$I$9,2,FALSE))</f>
        <v/>
      </c>
      <c r="C91" s="85" t="str">
        <f>IF(A91="","",VLOOKUP(A91,Ferrocarriles!$G$5:$I$9,3,FALSE))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IF(A92="","",VLOOKUP(A92,Ferrocarriles!$G$5:$I$9,2,FALSE))</f>
        <v/>
      </c>
      <c r="C92" s="149" t="str">
        <f>IF(A92="","",VLOOKUP(A92,Ferrocarriles!$G$5:$I$9,3,FALSE))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IF(A93="","",VLOOKUP(A93,Ferrocarriles!$G$5:$I$9,2,FALSE))</f>
        <v/>
      </c>
      <c r="C93" s="149" t="str">
        <f>IF(A93="","",VLOOKUP(A93,Ferrocarriles!$G$5:$I$9,3,FALSE))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IF(A94="","",VLOOKUP(A94,Ferrocarriles!$G$5:$I$9,2,FALSE))</f>
        <v/>
      </c>
      <c r="C94" s="149" t="str">
        <f>IF(A94="","",VLOOKUP(A94,Ferrocarriles!$G$5:$I$9,3,FALSE))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7" x14ac:dyDescent="0.5">
      <c r="B97" s="90"/>
      <c r="F97" s="92"/>
      <c r="G97" s="93"/>
    </row>
    <row r="98" spans="1:7" ht="18" thickBot="1" x14ac:dyDescent="0.55000000000000004">
      <c r="A98" s="121" t="s">
        <v>239</v>
      </c>
      <c r="B98" s="90"/>
      <c r="F98" s="90"/>
    </row>
    <row r="99" spans="1:7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7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7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7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7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7" ht="18" thickBot="1" x14ac:dyDescent="0.55000000000000004">
      <c r="B104" s="90"/>
      <c r="E104" s="85" t="s">
        <v>3</v>
      </c>
      <c r="F104" s="114">
        <f>SUM(F100:F103)</f>
        <v>0</v>
      </c>
    </row>
    <row r="105" spans="1:7" x14ac:dyDescent="0.5">
      <c r="B105" s="90"/>
    </row>
    <row r="106" spans="1:7" ht="18" thickBot="1" x14ac:dyDescent="0.55000000000000004">
      <c r="A106" s="125" t="s">
        <v>236</v>
      </c>
      <c r="B106" s="90"/>
    </row>
    <row r="107" spans="1:7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7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7" ht="18" thickBot="1" x14ac:dyDescent="0.55000000000000004">
      <c r="A109" s="85" t="s">
        <v>152</v>
      </c>
      <c r="B109" s="88">
        <v>30</v>
      </c>
      <c r="C109" s="95">
        <v>0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7" ht="18" thickBot="1" x14ac:dyDescent="0.55000000000000004">
      <c r="A110" s="85" t="s">
        <v>153</v>
      </c>
      <c r="B110" s="88">
        <v>30</v>
      </c>
      <c r="C110" s="95">
        <v>0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</row>
    <row r="111" spans="1:7" ht="18" thickBot="1" x14ac:dyDescent="0.55000000000000004">
      <c r="A111" s="85" t="s">
        <v>154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7" ht="18" thickBot="1" x14ac:dyDescent="0.55000000000000004">
      <c r="A112" s="85" t="s">
        <v>155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276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90"/>
    </row>
    <row r="114" spans="1:9" ht="18" thickBot="1" x14ac:dyDescent="0.55000000000000004">
      <c r="A114" s="85" t="s">
        <v>156</v>
      </c>
      <c r="B114" s="88">
        <v>30</v>
      </c>
      <c r="C114" s="95">
        <v>0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</row>
    <row r="115" spans="1:9" ht="18" thickBot="1" x14ac:dyDescent="0.55000000000000004">
      <c r="A115" s="85" t="s">
        <v>157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158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280.82000000000005</v>
      </c>
    </row>
    <row r="121" spans="1:9" ht="18" thickBot="1" x14ac:dyDescent="0.55000000000000004">
      <c r="A121" s="116" t="s">
        <v>240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280.82000000000005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>
        <v>0</v>
      </c>
    </row>
    <row r="126" spans="1:9" ht="18" thickBot="1" x14ac:dyDescent="0.55000000000000004">
      <c r="A126" s="85" t="s">
        <v>138</v>
      </c>
      <c r="B126" s="155">
        <v>0</v>
      </c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11" t="s">
        <v>151</v>
      </c>
      <c r="L131" s="207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12"/>
      <c r="L132" s="208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164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00"/>
      <c r="B141" s="200"/>
      <c r="C141" s="133"/>
      <c r="D141" s="85" t="s">
        <v>159</v>
      </c>
      <c r="E141" s="85" t="s">
        <v>160</v>
      </c>
      <c r="F141" s="85" t="s">
        <v>161</v>
      </c>
      <c r="G141" s="85" t="s">
        <v>162</v>
      </c>
      <c r="H141" s="85" t="s">
        <v>117</v>
      </c>
      <c r="I141" s="85" t="s">
        <v>163</v>
      </c>
    </row>
    <row r="142" spans="1:13" ht="18" thickBot="1" x14ac:dyDescent="0.55000000000000004">
      <c r="A142" s="200"/>
      <c r="B142" s="200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165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11" t="s">
        <v>169</v>
      </c>
      <c r="G149" s="134"/>
    </row>
    <row r="150" spans="1:9" ht="18" thickBot="1" x14ac:dyDescent="0.55000000000000004">
      <c r="A150" s="131" t="s">
        <v>166</v>
      </c>
      <c r="B150" s="132" t="s">
        <v>167</v>
      </c>
      <c r="C150" s="132" t="s">
        <v>123</v>
      </c>
      <c r="D150" s="132" t="s">
        <v>168</v>
      </c>
      <c r="E150" s="132" t="s">
        <v>148</v>
      </c>
      <c r="F150" s="212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11"/>
      <c r="G160" s="134"/>
    </row>
    <row r="161" spans="1:7" ht="18" thickBot="1" x14ac:dyDescent="0.55000000000000004">
      <c r="A161" s="131" t="s">
        <v>176</v>
      </c>
      <c r="B161" s="132" t="s">
        <v>148</v>
      </c>
      <c r="C161" s="132" t="s">
        <v>168</v>
      </c>
      <c r="D161" s="139" t="s">
        <v>177</v>
      </c>
      <c r="E161" s="132"/>
      <c r="F161" s="212"/>
      <c r="G161" s="135"/>
    </row>
    <row r="162" spans="1:7" ht="18" thickBot="1" x14ac:dyDescent="0.55000000000000004">
      <c r="A162" s="85"/>
      <c r="B162" s="85"/>
      <c r="C162" s="85"/>
      <c r="D162" s="85"/>
    </row>
    <row r="163" spans="1:7" ht="18" thickBot="1" x14ac:dyDescent="0.55000000000000004">
      <c r="A163" s="85"/>
      <c r="B163" s="85"/>
      <c r="C163" s="85"/>
      <c r="D163" s="85"/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178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180</v>
      </c>
      <c r="B169" s="142" t="s">
        <v>179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181</v>
      </c>
    </row>
    <row r="179" spans="1:14" ht="18" thickBot="1" x14ac:dyDescent="0.55000000000000004">
      <c r="A179" s="196" t="s">
        <v>182</v>
      </c>
      <c r="B179" s="197"/>
      <c r="C179" s="197"/>
      <c r="D179" s="197"/>
      <c r="E179" s="197"/>
      <c r="F179" s="198"/>
      <c r="G179" s="143" t="s">
        <v>183</v>
      </c>
      <c r="N179" s="144"/>
    </row>
    <row r="180" spans="1:14" ht="19.5" customHeight="1" thickBot="1" x14ac:dyDescent="0.55000000000000004">
      <c r="A180" s="213"/>
      <c r="B180" s="214"/>
      <c r="C180" s="214"/>
      <c r="D180" s="214"/>
      <c r="E180" s="214"/>
      <c r="F180" s="215"/>
      <c r="G180" s="158"/>
    </row>
    <row r="181" spans="1:14" ht="18" customHeight="1" thickBot="1" x14ac:dyDescent="0.55000000000000004">
      <c r="A181" s="213"/>
      <c r="B181" s="214"/>
      <c r="C181" s="214"/>
      <c r="D181" s="214"/>
      <c r="E181" s="214"/>
      <c r="F181" s="215"/>
      <c r="G181" s="158"/>
    </row>
    <row r="182" spans="1:14" ht="19.5" customHeight="1" thickBot="1" x14ac:dyDescent="0.55000000000000004">
      <c r="A182" s="213"/>
      <c r="B182" s="214"/>
      <c r="C182" s="214"/>
      <c r="D182" s="214"/>
      <c r="E182" s="214"/>
      <c r="F182" s="215"/>
      <c r="G182" s="158"/>
    </row>
    <row r="183" spans="1:14" ht="19.5" customHeight="1" thickBot="1" x14ac:dyDescent="0.55000000000000004">
      <c r="A183" s="213"/>
      <c r="B183" s="214"/>
      <c r="C183" s="214"/>
      <c r="D183" s="214"/>
      <c r="E183" s="214"/>
      <c r="F183" s="215"/>
      <c r="G183" s="158"/>
    </row>
    <row r="184" spans="1:14" ht="19.5" customHeight="1" thickBot="1" x14ac:dyDescent="0.55000000000000004">
      <c r="A184" s="213"/>
      <c r="B184" s="214"/>
      <c r="C184" s="214"/>
      <c r="D184" s="214"/>
      <c r="E184" s="214"/>
      <c r="F184" s="215"/>
      <c r="G184" s="158"/>
    </row>
    <row r="185" spans="1:14" ht="19.5" customHeight="1" thickBot="1" x14ac:dyDescent="0.55000000000000004">
      <c r="A185" s="213"/>
      <c r="B185" s="214"/>
      <c r="C185" s="214"/>
      <c r="D185" s="214"/>
      <c r="E185" s="214"/>
      <c r="F185" s="215"/>
      <c r="G185" s="158"/>
    </row>
    <row r="186" spans="1:14" ht="19.5" customHeight="1" thickBot="1" x14ac:dyDescent="0.55000000000000004">
      <c r="A186" s="213"/>
      <c r="B186" s="214"/>
      <c r="C186" s="214"/>
      <c r="D186" s="214"/>
      <c r="E186" s="214"/>
      <c r="F186" s="215"/>
      <c r="G186" s="158"/>
    </row>
    <row r="187" spans="1:14" ht="19.5" customHeight="1" thickBot="1" x14ac:dyDescent="0.55000000000000004">
      <c r="A187" s="213"/>
      <c r="B187" s="214"/>
      <c r="C187" s="214"/>
      <c r="D187" s="214"/>
      <c r="E187" s="214"/>
      <c r="F187" s="215"/>
      <c r="G187" s="158"/>
    </row>
    <row r="188" spans="1:14" ht="19.5" customHeight="1" thickBot="1" x14ac:dyDescent="0.55000000000000004">
      <c r="A188" s="213"/>
      <c r="B188" s="214"/>
      <c r="C188" s="214"/>
      <c r="D188" s="214"/>
      <c r="E188" s="214"/>
      <c r="F188" s="215"/>
      <c r="G188" s="158"/>
    </row>
    <row r="189" spans="1:14" ht="19.5" customHeight="1" thickBot="1" x14ac:dyDescent="0.55000000000000004">
      <c r="A189" s="213"/>
      <c r="B189" s="214"/>
      <c r="C189" s="214"/>
      <c r="D189" s="214"/>
      <c r="E189" s="214"/>
      <c r="F189" s="215"/>
      <c r="G189" s="158"/>
    </row>
    <row r="190" spans="1:14" ht="18" thickBot="1" x14ac:dyDescent="0.55000000000000004">
      <c r="A190" s="213"/>
      <c r="B190" s="214"/>
      <c r="C190" s="214"/>
      <c r="D190" s="214"/>
      <c r="E190" s="214"/>
      <c r="F190" s="215"/>
      <c r="G190" s="158"/>
    </row>
    <row r="191" spans="1:14" ht="18" thickBot="1" x14ac:dyDescent="0.55000000000000004">
      <c r="A191" s="221"/>
      <c r="B191" s="222"/>
      <c r="C191" s="222"/>
      <c r="D191" s="222"/>
      <c r="E191" s="222"/>
      <c r="F191" s="223"/>
      <c r="G191" s="158"/>
    </row>
    <row r="192" spans="1:14" ht="18" thickBot="1" x14ac:dyDescent="0.55000000000000004">
      <c r="A192" s="213"/>
      <c r="B192" s="214"/>
      <c r="C192" s="214"/>
      <c r="D192" s="214"/>
      <c r="E192" s="214"/>
      <c r="F192" s="215"/>
      <c r="G192" s="161"/>
    </row>
    <row r="193" spans="1:7" ht="18" thickBot="1" x14ac:dyDescent="0.55000000000000004">
      <c r="A193" s="213"/>
      <c r="B193" s="214"/>
      <c r="C193" s="214"/>
      <c r="D193" s="214"/>
      <c r="E193" s="214"/>
      <c r="F193" s="215"/>
      <c r="G193" s="161"/>
    </row>
    <row r="194" spans="1:7" ht="18" thickBot="1" x14ac:dyDescent="0.55000000000000004">
      <c r="A194" s="218"/>
      <c r="B194" s="219"/>
      <c r="C194" s="219"/>
      <c r="D194" s="219"/>
      <c r="E194" s="219"/>
      <c r="F194" s="220"/>
      <c r="G194" s="161"/>
    </row>
    <row r="195" spans="1:7" ht="18" thickBot="1" x14ac:dyDescent="0.55000000000000004">
      <c r="A195" s="213"/>
      <c r="B195" s="214"/>
      <c r="C195" s="214"/>
      <c r="D195" s="214"/>
      <c r="E195" s="214"/>
      <c r="F195" s="215"/>
      <c r="G195" s="158"/>
    </row>
    <row r="196" spans="1:7" ht="18" thickBot="1" x14ac:dyDescent="0.55000000000000004">
      <c r="A196" s="213"/>
      <c r="B196" s="214"/>
      <c r="C196" s="214"/>
      <c r="D196" s="214"/>
      <c r="E196" s="214"/>
      <c r="F196" s="215"/>
      <c r="G196" s="158"/>
    </row>
    <row r="197" spans="1:7" ht="18" thickBot="1" x14ac:dyDescent="0.55000000000000004">
      <c r="A197" s="218"/>
      <c r="B197" s="219"/>
      <c r="C197" s="219"/>
      <c r="D197" s="219"/>
      <c r="E197" s="219"/>
      <c r="F197" s="220"/>
      <c r="G197" s="158"/>
    </row>
    <row r="198" spans="1:7" ht="18" thickBot="1" x14ac:dyDescent="0.55000000000000004">
      <c r="A198" s="213"/>
      <c r="B198" s="219"/>
      <c r="C198" s="219"/>
      <c r="D198" s="219"/>
      <c r="E198" s="219"/>
      <c r="F198" s="220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196" t="s">
        <v>108</v>
      </c>
      <c r="F202" s="198"/>
      <c r="G202" s="114">
        <f>E122-L137-H142-G157-G166-C174-G200</f>
        <v>280.82000000000005</v>
      </c>
    </row>
  </sheetData>
  <sheetProtection algorithmName="SHA-512" hashValue="l3TetCA+yA8XXu5l1kXqzf5HUSy13YaawJyCefXxq1JpIGBr1m3HpExlG6s+7B5WjIGPJUEIS+hkG8aj1O+PEw==" saltValue="645Wg84jafafLETeZwwXHQ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Colonias!$B$17:$B$22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4" t="s">
        <v>189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</row>
    <row r="5" spans="1:20" ht="15.75" thickBot="1" x14ac:dyDescent="0.5">
      <c r="A5" s="82" t="s">
        <v>190</v>
      </c>
    </row>
    <row r="6" spans="1:20" ht="15.75" thickBot="1" x14ac:dyDescent="0.5">
      <c r="A6" s="49"/>
      <c r="B6" s="226" t="s">
        <v>159</v>
      </c>
      <c r="C6" s="226" t="s">
        <v>148</v>
      </c>
      <c r="D6" s="226" t="s">
        <v>188</v>
      </c>
      <c r="E6" s="226" t="s">
        <v>148</v>
      </c>
      <c r="F6" s="226" t="s">
        <v>147</v>
      </c>
      <c r="G6" s="226" t="s">
        <v>148</v>
      </c>
      <c r="H6" s="226" t="s">
        <v>149</v>
      </c>
      <c r="I6" s="226" t="s">
        <v>148</v>
      </c>
      <c r="J6" s="226" t="s">
        <v>150</v>
      </c>
      <c r="K6" s="250" t="s">
        <v>148</v>
      </c>
      <c r="N6" s="224" t="s">
        <v>191</v>
      </c>
      <c r="O6" s="224"/>
      <c r="P6" s="224"/>
    </row>
    <row r="7" spans="1:20" ht="15.75" thickBot="1" x14ac:dyDescent="0.5">
      <c r="A7" s="50" t="s">
        <v>180</v>
      </c>
      <c r="B7" s="227"/>
      <c r="C7" s="227"/>
      <c r="D7" s="227"/>
      <c r="E7" s="227"/>
      <c r="F7" s="227"/>
      <c r="G7" s="227"/>
      <c r="H7" s="227"/>
      <c r="I7" s="227"/>
      <c r="J7" s="227"/>
      <c r="K7" s="251"/>
      <c r="N7" s="7"/>
      <c r="O7" s="48" t="s">
        <v>117</v>
      </c>
      <c r="P7" s="48" t="s">
        <v>193</v>
      </c>
    </row>
    <row r="8" spans="1:20" ht="15.75" thickBot="1" x14ac:dyDescent="0.5">
      <c r="A8" s="48" t="s">
        <v>255</v>
      </c>
      <c r="B8" s="48">
        <v>17</v>
      </c>
      <c r="C8" s="48" t="s">
        <v>23</v>
      </c>
      <c r="D8" s="48">
        <v>25</v>
      </c>
      <c r="E8" s="48" t="s">
        <v>23</v>
      </c>
      <c r="F8" s="48">
        <v>25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192</v>
      </c>
      <c r="O8" s="7"/>
      <c r="P8" s="51">
        <f>B37/1000000</f>
        <v>9.9</v>
      </c>
    </row>
    <row r="9" spans="1:20" ht="15.75" thickBot="1" x14ac:dyDescent="0.5">
      <c r="A9" s="177" t="s">
        <v>255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57</v>
      </c>
      <c r="P9" s="48">
        <f>B66</f>
        <v>1.1399999999999999</v>
      </c>
    </row>
    <row r="10" spans="1:20" ht="15.75" thickBot="1" x14ac:dyDescent="0.5">
      <c r="A10" s="194" t="s">
        <v>255</v>
      </c>
      <c r="B10" s="194"/>
      <c r="C10" s="194"/>
      <c r="D10" s="48"/>
      <c r="E10" s="48"/>
      <c r="F10" s="48"/>
      <c r="G10" s="48"/>
      <c r="H10" s="48">
        <v>2</v>
      </c>
      <c r="I10" s="48" t="s">
        <v>22</v>
      </c>
      <c r="J10" s="48">
        <v>1</v>
      </c>
      <c r="K10" s="48" t="s">
        <v>22</v>
      </c>
      <c r="N10" s="7"/>
      <c r="O10" s="53"/>
      <c r="P10" s="7"/>
    </row>
    <row r="11" spans="1:20" ht="15.75" thickBot="1" x14ac:dyDescent="0.5">
      <c r="A11" s="48" t="s">
        <v>252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194</v>
      </c>
      <c r="O11" s="52">
        <f>B99</f>
        <v>58</v>
      </c>
      <c r="P11" s="7"/>
    </row>
    <row r="12" spans="1:20" ht="15.75" thickBot="1" x14ac:dyDescent="0.5">
      <c r="A12" s="48" t="s">
        <v>253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115</v>
      </c>
      <c r="P12" s="51">
        <f>P8+P9</f>
        <v>11.040000000000001</v>
      </c>
    </row>
    <row r="13" spans="1:20" ht="15.75" thickBot="1" x14ac:dyDescent="0.5">
      <c r="A13" s="48" t="s">
        <v>254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 t="s">
        <v>256</v>
      </c>
      <c r="B14" s="48">
        <v>1</v>
      </c>
      <c r="C14" s="48" t="s">
        <v>23</v>
      </c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25</v>
      </c>
      <c r="G25" s="7"/>
      <c r="H25" s="48">
        <f>SUM(H8:H24)</f>
        <v>11</v>
      </c>
      <c r="I25" s="7"/>
      <c r="J25" s="48">
        <f>SUM(J8:J24)</f>
        <v>5</v>
      </c>
      <c r="K25" s="7"/>
    </row>
    <row r="26" spans="1:18" x14ac:dyDescent="0.45">
      <c r="A26" s="43" t="s">
        <v>279</v>
      </c>
    </row>
    <row r="27" spans="1:18" ht="15.75" thickBot="1" x14ac:dyDescent="0.5"/>
    <row r="28" spans="1:18" ht="16.149999999999999" thickTop="1" thickBot="1" x14ac:dyDescent="0.5">
      <c r="A28" s="54" t="s">
        <v>195</v>
      </c>
      <c r="B28" s="48" t="s">
        <v>257</v>
      </c>
      <c r="C28" s="44"/>
      <c r="D28" s="166"/>
      <c r="E28" s="164"/>
      <c r="F28" s="165" t="s">
        <v>211</v>
      </c>
      <c r="G28" s="52">
        <f>B25+D25+H25+J25</f>
        <v>62</v>
      </c>
      <c r="I28" s="54" t="s">
        <v>108</v>
      </c>
      <c r="J28" s="58">
        <f>Econ!G202</f>
        <v>280.82000000000005</v>
      </c>
    </row>
    <row r="29" spans="1:18" ht="16.149999999999999" thickTop="1" thickBot="1" x14ac:dyDescent="0.5">
      <c r="A29" s="48" t="s">
        <v>196</v>
      </c>
      <c r="B29" s="48" t="s">
        <v>10</v>
      </c>
    </row>
    <row r="30" spans="1:18" ht="15.75" thickBot="1" x14ac:dyDescent="0.5">
      <c r="A30" s="55" t="s">
        <v>197</v>
      </c>
      <c r="B30" s="56" t="s">
        <v>258</v>
      </c>
      <c r="E30" s="224" t="s">
        <v>198</v>
      </c>
      <c r="F30" s="224"/>
      <c r="G30" s="224"/>
      <c r="H30" s="224"/>
      <c r="I30" s="224"/>
      <c r="J30" s="224"/>
      <c r="K30" s="224"/>
    </row>
    <row r="31" spans="1:18" ht="15.75" thickBot="1" x14ac:dyDescent="0.5">
      <c r="A31" s="43"/>
      <c r="B31" s="43"/>
      <c r="C31" s="43"/>
      <c r="E31" s="224" t="s">
        <v>61</v>
      </c>
      <c r="F31" s="224"/>
      <c r="G31" s="224"/>
      <c r="H31" s="48" t="s">
        <v>117</v>
      </c>
      <c r="I31" s="224" t="s">
        <v>199</v>
      </c>
      <c r="J31" s="224"/>
      <c r="K31" s="224"/>
    </row>
    <row r="32" spans="1:18" ht="15.75" thickBot="1" x14ac:dyDescent="0.5">
      <c r="A32" s="43"/>
      <c r="B32" s="43"/>
      <c r="C32" s="43"/>
      <c r="E32" s="228"/>
      <c r="F32" s="229"/>
      <c r="G32" s="230"/>
      <c r="H32" s="172"/>
      <c r="I32" s="228"/>
      <c r="J32" s="229"/>
      <c r="K32" s="230"/>
      <c r="R32" s="43"/>
    </row>
    <row r="33" spans="1:16" ht="15.75" thickBot="1" x14ac:dyDescent="0.5">
      <c r="A33" s="43"/>
      <c r="E33" s="228"/>
      <c r="F33" s="229"/>
      <c r="G33" s="230"/>
      <c r="H33" s="172"/>
      <c r="I33" s="228"/>
      <c r="J33" s="229"/>
      <c r="K33" s="230"/>
    </row>
    <row r="34" spans="1:16" ht="16.149999999999999" thickTop="1" thickBot="1" x14ac:dyDescent="0.5">
      <c r="A34" s="54" t="s">
        <v>6</v>
      </c>
      <c r="B34" s="54" t="s">
        <v>163</v>
      </c>
      <c r="C34" s="20" t="s">
        <v>6</v>
      </c>
      <c r="E34" s="228"/>
      <c r="F34" s="229"/>
      <c r="G34" s="230"/>
      <c r="H34" s="172"/>
      <c r="I34" s="228"/>
      <c r="J34" s="229"/>
      <c r="K34" s="230"/>
    </row>
    <row r="35" spans="1:16" ht="16.149999999999999" thickTop="1" thickBot="1" x14ac:dyDescent="0.5">
      <c r="A35" s="54" t="s">
        <v>200</v>
      </c>
      <c r="B35" s="59">
        <f>(B25+H25+J25)*200000</f>
        <v>7400000</v>
      </c>
      <c r="E35" s="228"/>
      <c r="F35" s="229"/>
      <c r="G35" s="230"/>
      <c r="H35" s="172"/>
      <c r="I35" s="228"/>
      <c r="J35" s="229"/>
      <c r="K35" s="230"/>
    </row>
    <row r="36" spans="1:16" ht="16.149999999999999" thickTop="1" thickBot="1" x14ac:dyDescent="0.5">
      <c r="A36" s="54" t="s">
        <v>201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9900000</v>
      </c>
    </row>
    <row r="38" spans="1:16" ht="16.149999999999999" thickTop="1" thickBot="1" x14ac:dyDescent="0.5"/>
    <row r="39" spans="1:16" ht="15.75" thickBot="1" x14ac:dyDescent="0.5">
      <c r="G39" s="224" t="s">
        <v>202</v>
      </c>
      <c r="H39" s="224"/>
      <c r="I39" s="224"/>
      <c r="J39" s="224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203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204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205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241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52" t="s">
        <v>180</v>
      </c>
      <c r="B48" s="225" t="s">
        <v>206</v>
      </c>
      <c r="C48" s="225" t="s">
        <v>148</v>
      </c>
      <c r="D48" s="225" t="s">
        <v>207</v>
      </c>
      <c r="E48" s="225" t="s">
        <v>148</v>
      </c>
      <c r="F48" s="225" t="s">
        <v>208</v>
      </c>
      <c r="G48" s="225" t="s">
        <v>148</v>
      </c>
      <c r="H48" s="225" t="s">
        <v>209</v>
      </c>
      <c r="I48" s="225" t="s">
        <v>148</v>
      </c>
      <c r="J48" s="225" t="s">
        <v>173</v>
      </c>
      <c r="K48" s="225" t="s">
        <v>148</v>
      </c>
      <c r="L48" s="225" t="s">
        <v>175</v>
      </c>
    </row>
    <row r="49" spans="1:12" ht="16.149999999999999" thickTop="1" thickBot="1" x14ac:dyDescent="0.5">
      <c r="A49" s="253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</row>
    <row r="50" spans="1:12" s="46" customFormat="1" ht="16.149999999999999" thickTop="1" thickBot="1" x14ac:dyDescent="0.5">
      <c r="A50" s="61" t="s">
        <v>259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32</v>
      </c>
      <c r="I50" s="63" t="s">
        <v>23</v>
      </c>
      <c r="J50" s="62">
        <v>4</v>
      </c>
      <c r="K50" s="63" t="s">
        <v>23</v>
      </c>
      <c r="L50" s="61">
        <v>4</v>
      </c>
    </row>
    <row r="51" spans="1:12" ht="16.149999999999999" thickTop="1" thickBot="1" x14ac:dyDescent="0.5">
      <c r="A51" s="54" t="s">
        <v>260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20</v>
      </c>
      <c r="I51" s="65" t="s">
        <v>23</v>
      </c>
      <c r="J51" s="64">
        <v>2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261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262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8</v>
      </c>
      <c r="K53" s="65" t="s">
        <v>23</v>
      </c>
      <c r="L53" s="54"/>
    </row>
    <row r="54" spans="1:12" ht="16.149999999999999" thickTop="1" thickBot="1" x14ac:dyDescent="0.5">
      <c r="A54" s="54" t="s">
        <v>280</v>
      </c>
      <c r="B54" s="64"/>
      <c r="C54" s="65"/>
      <c r="D54" s="64">
        <v>2</v>
      </c>
      <c r="E54" s="65" t="s">
        <v>23</v>
      </c>
      <c r="F54" s="64"/>
      <c r="G54" s="65"/>
      <c r="H54" s="64">
        <v>8</v>
      </c>
      <c r="I54" s="65" t="s">
        <v>23</v>
      </c>
      <c r="J54" s="64">
        <v>4</v>
      </c>
      <c r="K54" s="65" t="s">
        <v>23</v>
      </c>
      <c r="L54" s="54">
        <v>2</v>
      </c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62</v>
      </c>
      <c r="I59" s="34"/>
      <c r="J59" s="54">
        <f>SUM(J50:J58)</f>
        <v>18</v>
      </c>
      <c r="K59" s="34"/>
      <c r="L59" s="54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195</v>
      </c>
      <c r="B63" s="48" t="s">
        <v>257</v>
      </c>
      <c r="E63" s="48"/>
      <c r="F63" s="57" t="s">
        <v>210</v>
      </c>
      <c r="G63" s="52">
        <f>B64*0.5</f>
        <v>114</v>
      </c>
    </row>
    <row r="64" spans="1:12" ht="16.149999999999999" thickTop="1" thickBot="1" x14ac:dyDescent="0.5">
      <c r="A64" s="54" t="s">
        <v>212</v>
      </c>
      <c r="B64" s="54">
        <f>(B59*4)+(D59*2)+(F59*2)+(H59*1)+(J59*1)+(L59*2)</f>
        <v>228</v>
      </c>
    </row>
    <row r="65" spans="1:16" ht="16.149999999999999" thickTop="1" thickBot="1" x14ac:dyDescent="0.5">
      <c r="A65" s="54" t="s">
        <v>213</v>
      </c>
      <c r="B65" s="58">
        <f>ROUNDUP((B64/20)*5,0)</f>
        <v>57</v>
      </c>
      <c r="E65" s="224" t="s">
        <v>214</v>
      </c>
      <c r="F65" s="224"/>
      <c r="G65" s="224"/>
      <c r="H65" s="224"/>
      <c r="I65" s="224"/>
      <c r="J65" s="224"/>
      <c r="K65" s="224"/>
    </row>
    <row r="66" spans="1:16" ht="16.149999999999999" thickTop="1" thickBot="1" x14ac:dyDescent="0.5">
      <c r="A66" s="54" t="s">
        <v>163</v>
      </c>
      <c r="B66" s="54">
        <f>ROUNDUP((B64/20)*0.1,2)</f>
        <v>1.1399999999999999</v>
      </c>
      <c r="C66" s="20" t="s">
        <v>55</v>
      </c>
      <c r="E66" s="224" t="s">
        <v>215</v>
      </c>
      <c r="F66" s="224"/>
      <c r="G66" s="224"/>
      <c r="H66" s="48" t="s">
        <v>117</v>
      </c>
      <c r="I66" s="224" t="s">
        <v>199</v>
      </c>
      <c r="J66" s="224"/>
      <c r="K66" s="224"/>
    </row>
    <row r="67" spans="1:16" ht="15" customHeight="1" thickTop="1" thickBot="1" x14ac:dyDescent="0.5">
      <c r="E67" s="228"/>
      <c r="F67" s="229"/>
      <c r="G67" s="230"/>
      <c r="H67" s="172"/>
      <c r="I67" s="228"/>
      <c r="J67" s="229"/>
      <c r="K67" s="230"/>
    </row>
    <row r="68" spans="1:16" ht="15" customHeight="1" thickBot="1" x14ac:dyDescent="0.5">
      <c r="E68" s="228"/>
      <c r="F68" s="229"/>
      <c r="G68" s="230"/>
      <c r="H68" s="172"/>
      <c r="I68" s="228"/>
      <c r="J68" s="229"/>
      <c r="K68" s="230"/>
    </row>
    <row r="69" spans="1:16" ht="15" customHeight="1" thickBot="1" x14ac:dyDescent="0.5">
      <c r="E69" s="228"/>
      <c r="F69" s="229"/>
      <c r="G69" s="230"/>
      <c r="H69" s="172"/>
      <c r="I69" s="228"/>
      <c r="J69" s="229"/>
      <c r="K69" s="230"/>
    </row>
    <row r="70" spans="1:16" ht="15.75" thickBot="1" x14ac:dyDescent="0.5">
      <c r="E70" s="228"/>
      <c r="F70" s="229"/>
      <c r="G70" s="230"/>
      <c r="H70" s="172"/>
      <c r="I70" s="228"/>
      <c r="J70" s="229"/>
      <c r="K70" s="230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280.82000000000005</v>
      </c>
      <c r="I72" s="47"/>
    </row>
    <row r="75" spans="1:16" ht="15.75" thickBot="1" x14ac:dyDescent="0.5">
      <c r="A75" s="82" t="s">
        <v>242</v>
      </c>
    </row>
    <row r="76" spans="1:16" ht="15.75" thickBot="1" x14ac:dyDescent="0.5">
      <c r="A76" s="48" t="s">
        <v>216</v>
      </c>
      <c r="B76" s="48" t="s">
        <v>168</v>
      </c>
      <c r="C76" s="48" t="s">
        <v>117</v>
      </c>
      <c r="D76" s="243" t="s">
        <v>180</v>
      </c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</row>
    <row r="77" spans="1:16" ht="15.75" thickBot="1" x14ac:dyDescent="0.5">
      <c r="A77" s="48" t="s">
        <v>221</v>
      </c>
      <c r="B77" s="48">
        <v>8</v>
      </c>
      <c r="C77" s="68"/>
      <c r="D77" s="244" t="s">
        <v>285</v>
      </c>
      <c r="E77" s="245"/>
      <c r="F77" s="245"/>
      <c r="G77" s="245"/>
      <c r="H77" s="245"/>
      <c r="I77" s="245"/>
      <c r="J77" s="245"/>
      <c r="K77" s="245"/>
      <c r="L77" s="245"/>
      <c r="M77" s="245"/>
      <c r="N77" s="245"/>
      <c r="O77" s="245"/>
      <c r="P77" s="246"/>
    </row>
    <row r="78" spans="1:16" ht="15.75" thickBot="1" x14ac:dyDescent="0.5">
      <c r="A78" s="48" t="s">
        <v>217</v>
      </c>
      <c r="B78" s="48">
        <v>2</v>
      </c>
      <c r="C78" s="69">
        <f>B78</f>
        <v>2</v>
      </c>
      <c r="D78" s="247" t="s">
        <v>267</v>
      </c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9"/>
    </row>
    <row r="79" spans="1:16" x14ac:dyDescent="0.45">
      <c r="A79" s="34"/>
      <c r="B79" s="34"/>
      <c r="C79" s="15"/>
      <c r="D79" s="247" t="s">
        <v>284</v>
      </c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9"/>
    </row>
    <row r="80" spans="1:16" x14ac:dyDescent="0.45">
      <c r="A80" s="34"/>
      <c r="B80" s="34"/>
      <c r="C80" s="15"/>
      <c r="D80" s="247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9"/>
    </row>
    <row r="81" spans="1:16" x14ac:dyDescent="0.45">
      <c r="A81" s="34"/>
      <c r="B81" s="34"/>
      <c r="C81" s="15"/>
      <c r="D81" s="247"/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9"/>
    </row>
    <row r="82" spans="1:16" ht="29.25" customHeight="1" x14ac:dyDescent="0.45">
      <c r="A82" s="34"/>
      <c r="B82" s="34"/>
      <c r="C82" s="15"/>
      <c r="D82" s="260"/>
      <c r="E82" s="261"/>
      <c r="F82" s="261"/>
      <c r="G82" s="261"/>
      <c r="H82" s="261"/>
      <c r="I82" s="261"/>
      <c r="J82" s="261"/>
      <c r="K82" s="261"/>
      <c r="L82" s="261"/>
      <c r="M82" s="261"/>
      <c r="N82" s="261"/>
      <c r="O82" s="261"/>
      <c r="P82" s="262"/>
    </row>
    <row r="83" spans="1:16" ht="15.75" thickBot="1" x14ac:dyDescent="0.5">
      <c r="A83" s="34"/>
      <c r="B83" s="34"/>
      <c r="C83" s="15"/>
      <c r="D83" s="255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7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218</v>
      </c>
      <c r="B86" s="48" t="s">
        <v>168</v>
      </c>
      <c r="C86" s="48" t="s">
        <v>117</v>
      </c>
      <c r="D86" s="224" t="s">
        <v>180</v>
      </c>
      <c r="E86" s="224"/>
      <c r="F86" s="224"/>
      <c r="G86" s="224"/>
      <c r="H86" s="224"/>
      <c r="I86" s="224"/>
      <c r="J86" s="224"/>
      <c r="K86" s="224"/>
      <c r="L86" s="224"/>
      <c r="M86" s="224"/>
      <c r="N86" s="224"/>
      <c r="O86" s="224"/>
      <c r="P86" s="224"/>
    </row>
    <row r="87" spans="1:16" ht="15.75" thickBot="1" x14ac:dyDescent="0.5">
      <c r="A87" s="56" t="s">
        <v>221</v>
      </c>
      <c r="B87" s="56">
        <v>16</v>
      </c>
      <c r="C87" s="68"/>
      <c r="D87" s="244" t="s">
        <v>263</v>
      </c>
      <c r="E87" s="245"/>
      <c r="F87" s="245"/>
      <c r="G87" s="245"/>
      <c r="H87" s="245"/>
      <c r="I87" s="245"/>
      <c r="J87" s="245"/>
      <c r="K87" s="245"/>
      <c r="L87" s="245"/>
      <c r="M87" s="245"/>
      <c r="N87" s="245"/>
      <c r="O87" s="245"/>
      <c r="P87" s="246"/>
    </row>
    <row r="88" spans="1:16" ht="15.75" thickBot="1" x14ac:dyDescent="0.5">
      <c r="A88" s="163" t="s">
        <v>217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219</v>
      </c>
      <c r="B90" s="48" t="s">
        <v>168</v>
      </c>
      <c r="C90" s="48" t="s">
        <v>117</v>
      </c>
      <c r="D90" s="224" t="s">
        <v>180</v>
      </c>
      <c r="E90" s="224"/>
      <c r="F90" s="224"/>
      <c r="G90" s="224"/>
      <c r="H90" s="224"/>
      <c r="I90" s="224"/>
      <c r="J90" s="224"/>
      <c r="K90" s="224"/>
      <c r="L90" s="224"/>
      <c r="M90" s="224"/>
      <c r="N90" s="224"/>
      <c r="O90" s="224"/>
      <c r="P90" s="224"/>
    </row>
    <row r="91" spans="1:16" ht="15.75" thickBot="1" x14ac:dyDescent="0.5">
      <c r="A91" s="48"/>
      <c r="B91" s="48">
        <v>14</v>
      </c>
      <c r="C91" s="69">
        <f>B91*2</f>
        <v>28</v>
      </c>
      <c r="D91" s="231" t="s">
        <v>264</v>
      </c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3"/>
    </row>
    <row r="92" spans="1:16" ht="35.25" customHeight="1" thickBot="1" x14ac:dyDescent="0.5">
      <c r="D92" s="234"/>
      <c r="E92" s="235"/>
      <c r="F92" s="235"/>
      <c r="G92" s="235"/>
      <c r="H92" s="235"/>
      <c r="I92" s="235"/>
      <c r="J92" s="235"/>
      <c r="K92" s="235"/>
      <c r="L92" s="235"/>
      <c r="M92" s="235"/>
      <c r="N92" s="235"/>
      <c r="O92" s="235"/>
      <c r="P92" s="236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220</v>
      </c>
      <c r="B94" s="48" t="s">
        <v>168</v>
      </c>
      <c r="C94" s="48" t="s">
        <v>117</v>
      </c>
      <c r="D94" s="224" t="s">
        <v>180</v>
      </c>
      <c r="E94" s="224"/>
      <c r="F94" s="224"/>
      <c r="G94" s="224"/>
      <c r="H94" s="224"/>
      <c r="I94" s="224"/>
      <c r="J94" s="224"/>
      <c r="K94" s="224"/>
      <c r="L94" s="224"/>
      <c r="M94" s="224"/>
      <c r="N94" s="224"/>
      <c r="O94" s="224"/>
      <c r="P94" s="224"/>
    </row>
    <row r="95" spans="1:16" ht="15.75" thickBot="1" x14ac:dyDescent="0.5">
      <c r="A95" s="48"/>
      <c r="B95" s="48">
        <v>7</v>
      </c>
      <c r="C95" s="69">
        <f>B95*4</f>
        <v>28</v>
      </c>
      <c r="D95" s="237" t="s">
        <v>265</v>
      </c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9"/>
    </row>
    <row r="96" spans="1:16" ht="15.75" thickBot="1" x14ac:dyDescent="0.5">
      <c r="D96" s="240"/>
      <c r="E96" s="241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2"/>
    </row>
    <row r="99" spans="1:17" x14ac:dyDescent="0.45">
      <c r="A99" s="166" t="s">
        <v>3</v>
      </c>
      <c r="B99" s="170">
        <f>C78+C88+C91+C95</f>
        <v>58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280.82000000000005</v>
      </c>
    </row>
  </sheetData>
  <sheetProtection algorithmName="SHA-512" hashValue="UjJ2VPd4WQQskzmJevGiDdvmno4K2ZOzwhHcBUnh647xmqc4YGwA4I7jyN0wALuim36tbhsy+spYFQ9sxBCT0A==" saltValue="Dib9sPnyod5EHQoV+b+yL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I9:I24 G9:G24 E8:E24 K8:K24 C14:C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5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64" t="s">
        <v>243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6"/>
      <c r="C5" s="267" t="s">
        <v>223</v>
      </c>
      <c r="D5" s="268"/>
      <c r="E5" s="268"/>
      <c r="F5" s="268"/>
      <c r="G5" s="268"/>
      <c r="H5" s="268"/>
      <c r="I5" s="269"/>
      <c r="J5" s="17"/>
      <c r="K5" s="265" t="s">
        <v>224</v>
      </c>
      <c r="L5" s="265"/>
      <c r="M5" s="265"/>
      <c r="N5" s="265"/>
      <c r="O5" s="265"/>
      <c r="P5" s="265"/>
    </row>
    <row r="6" spans="1:16" s="11" customFormat="1" ht="18" thickBot="1" x14ac:dyDescent="0.55000000000000004">
      <c r="B6" s="266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" si="0">SUM(C12:C12)</f>
        <v>10</v>
      </c>
      <c r="D7" s="40">
        <f>SUM(D11:D12)</f>
        <v>0</v>
      </c>
      <c r="E7" s="40">
        <f t="shared" ref="E7:I7" si="1">SUM(E11:E12)</f>
        <v>0</v>
      </c>
      <c r="F7" s="40">
        <f t="shared" si="1"/>
        <v>1</v>
      </c>
      <c r="G7" s="40">
        <f t="shared" si="1"/>
        <v>0</v>
      </c>
      <c r="H7" s="40">
        <f t="shared" si="1"/>
        <v>0</v>
      </c>
      <c r="I7" s="40">
        <f t="shared" si="1"/>
        <v>0</v>
      </c>
      <c r="J7" s="10"/>
      <c r="K7" s="40">
        <f>SUM(K11:K12)</f>
        <v>1</v>
      </c>
      <c r="L7" s="40">
        <f t="shared" ref="L7:P7" si="2">SUM(L11:L12)</f>
        <v>0</v>
      </c>
      <c r="M7" s="40">
        <f t="shared" si="2"/>
        <v>0</v>
      </c>
      <c r="N7" s="40">
        <f t="shared" si="2"/>
        <v>0</v>
      </c>
      <c r="O7" s="40">
        <f t="shared" si="2"/>
        <v>0</v>
      </c>
      <c r="P7" s="40">
        <f t="shared" si="2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65" t="s">
        <v>225</v>
      </c>
      <c r="D9" s="265"/>
      <c r="E9" s="265"/>
      <c r="F9" s="265"/>
      <c r="G9" s="265"/>
      <c r="H9" s="265"/>
      <c r="I9" s="39"/>
      <c r="K9" s="265" t="s">
        <v>226</v>
      </c>
      <c r="L9" s="265"/>
      <c r="M9" s="265"/>
      <c r="N9" s="265"/>
      <c r="O9" s="265"/>
      <c r="P9" s="265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93" customFormat="1" ht="18" thickBot="1" x14ac:dyDescent="0.55000000000000004">
      <c r="B11" s="12" t="s">
        <v>278</v>
      </c>
      <c r="C11" s="192"/>
      <c r="D11" s="192"/>
      <c r="E11" s="192"/>
      <c r="F11" s="192">
        <v>1</v>
      </c>
      <c r="G11" s="192"/>
      <c r="H11" s="192"/>
      <c r="I11" s="192"/>
      <c r="K11" s="192">
        <v>1</v>
      </c>
      <c r="L11" s="192"/>
      <c r="M11" s="192"/>
      <c r="N11" s="192"/>
      <c r="O11" s="192"/>
      <c r="P11" s="192"/>
    </row>
    <row r="12" spans="1:16" s="17" customFormat="1" ht="18" thickBot="1" x14ac:dyDescent="0.55000000000000004">
      <c r="A12" s="32"/>
      <c r="B12" s="12" t="s">
        <v>247</v>
      </c>
      <c r="C12" s="70">
        <v>10</v>
      </c>
      <c r="D12" s="39"/>
      <c r="E12" s="39"/>
      <c r="F12" s="39"/>
      <c r="G12" s="39"/>
      <c r="H12" s="39"/>
      <c r="I12" s="39"/>
      <c r="J12" s="17" t="s">
        <v>6</v>
      </c>
      <c r="K12" s="39"/>
      <c r="L12" s="39"/>
      <c r="M12" s="39"/>
      <c r="N12" s="39"/>
      <c r="O12" s="39"/>
      <c r="P12" s="39"/>
    </row>
    <row r="13" spans="1:16" s="32" customFormat="1" x14ac:dyDescent="0.5"/>
    <row r="14" spans="1:16" x14ac:dyDescent="0.5">
      <c r="D14" s="28"/>
    </row>
    <row r="15" spans="1:16" x14ac:dyDescent="0.5">
      <c r="B15" s="270" t="s">
        <v>235</v>
      </c>
      <c r="C15" s="271"/>
      <c r="D15" s="271"/>
      <c r="E15" s="271"/>
      <c r="F15" s="271"/>
      <c r="G15" s="272"/>
      <c r="H15" s="28"/>
    </row>
    <row r="16" spans="1:16" x14ac:dyDescent="0.5">
      <c r="B16" s="41" t="s">
        <v>182</v>
      </c>
      <c r="C16" s="41" t="s">
        <v>215</v>
      </c>
      <c r="D16" s="41" t="s">
        <v>227</v>
      </c>
      <c r="E16" s="152" t="s">
        <v>117</v>
      </c>
      <c r="F16" s="153" t="s">
        <v>7</v>
      </c>
      <c r="G16" s="41" t="s">
        <v>122</v>
      </c>
    </row>
    <row r="17" spans="2:16" x14ac:dyDescent="0.5">
      <c r="B17" s="41" t="str">
        <f>_xlfn.CONCAT(D17," en ",C17)</f>
        <v>Industria en Argentina</v>
      </c>
      <c r="C17" s="41" t="s">
        <v>270</v>
      </c>
      <c r="D17" s="41" t="s">
        <v>135</v>
      </c>
      <c r="E17" s="71">
        <v>90</v>
      </c>
      <c r="F17" s="154">
        <v>0.33</v>
      </c>
      <c r="G17" s="41" t="s">
        <v>10</v>
      </c>
    </row>
    <row r="18" spans="2:16" x14ac:dyDescent="0.5">
      <c r="B18" s="41" t="str">
        <f t="shared" ref="B18:B22" si="3">_xlfn.CONCAT(D18," en ",C18)</f>
        <v>Mat Primas en Alaska</v>
      </c>
      <c r="C18" s="41" t="s">
        <v>247</v>
      </c>
      <c r="D18" s="41" t="s">
        <v>99</v>
      </c>
      <c r="E18" s="71">
        <v>80</v>
      </c>
      <c r="F18" s="154">
        <v>0</v>
      </c>
      <c r="G18" s="41" t="s">
        <v>10</v>
      </c>
    </row>
    <row r="19" spans="2:16" s="191" customFormat="1" x14ac:dyDescent="0.5">
      <c r="B19" s="41" t="str">
        <f t="shared" ref="B19:B20" si="4">_xlfn.CONCAT(D19," en ",C19)</f>
        <v>Industria en China</v>
      </c>
      <c r="C19" s="41" t="s">
        <v>277</v>
      </c>
      <c r="D19" s="41" t="s">
        <v>135</v>
      </c>
      <c r="E19" s="71">
        <v>90</v>
      </c>
      <c r="F19" s="154">
        <v>0</v>
      </c>
      <c r="G19" s="41" t="s">
        <v>120</v>
      </c>
    </row>
    <row r="20" spans="2:16" s="191" customFormat="1" x14ac:dyDescent="0.5">
      <c r="B20" s="41" t="str">
        <f t="shared" si="4"/>
        <v>Carbón en China</v>
      </c>
      <c r="C20" s="41" t="s">
        <v>277</v>
      </c>
      <c r="D20" s="41" t="s">
        <v>95</v>
      </c>
      <c r="E20" s="71">
        <v>65</v>
      </c>
      <c r="F20" s="154">
        <v>0</v>
      </c>
      <c r="G20" s="41" t="s">
        <v>120</v>
      </c>
    </row>
    <row r="21" spans="2:16" x14ac:dyDescent="0.5">
      <c r="B21" s="41" t="str">
        <f t="shared" si="3"/>
        <v>Hierro en Utah</v>
      </c>
      <c r="C21" s="41" t="s">
        <v>272</v>
      </c>
      <c r="D21" s="41" t="s">
        <v>96</v>
      </c>
      <c r="E21" s="71">
        <v>70</v>
      </c>
      <c r="F21" s="154">
        <v>0</v>
      </c>
      <c r="G21" s="41" t="s">
        <v>120</v>
      </c>
    </row>
    <row r="22" spans="2:16" x14ac:dyDescent="0.5">
      <c r="B22" s="41" t="str">
        <f t="shared" si="3"/>
        <v>Carbón en Utah</v>
      </c>
      <c r="C22" s="41" t="s">
        <v>272</v>
      </c>
      <c r="D22" s="41" t="s">
        <v>95</v>
      </c>
      <c r="E22" s="71">
        <v>60</v>
      </c>
      <c r="F22" s="154">
        <v>0</v>
      </c>
      <c r="G22" s="41" t="s">
        <v>120</v>
      </c>
    </row>
    <row r="23" spans="2:16" x14ac:dyDescent="0.5">
      <c r="D23" s="263"/>
      <c r="E23" s="263"/>
      <c r="F23" s="13"/>
      <c r="G23" s="28"/>
    </row>
    <row r="24" spans="2:16" x14ac:dyDescent="0.5">
      <c r="D24" s="263"/>
      <c r="E24" s="263"/>
      <c r="F24" s="13"/>
      <c r="G24" s="28"/>
    </row>
    <row r="25" spans="2:16" x14ac:dyDescent="0.5">
      <c r="D25" s="263"/>
      <c r="E25" s="263"/>
      <c r="F25" s="13"/>
      <c r="G25" s="28"/>
    </row>
    <row r="26" spans="2:16" x14ac:dyDescent="0.5">
      <c r="D26" s="263"/>
      <c r="E26" s="263"/>
      <c r="F26" s="263"/>
      <c r="G26" s="14"/>
    </row>
    <row r="29" spans="2:16" x14ac:dyDescent="0.5">
      <c r="D29" s="263"/>
      <c r="E29" s="263"/>
      <c r="F29" s="263"/>
      <c r="G29" s="263"/>
      <c r="H29" s="263"/>
      <c r="I29" s="263"/>
      <c r="K29" s="263"/>
      <c r="L29" s="263"/>
      <c r="M29" s="263"/>
      <c r="N29" s="263"/>
      <c r="O29" s="263"/>
      <c r="P29" s="263"/>
    </row>
    <row r="33" spans="2:17" x14ac:dyDescent="0.5">
      <c r="D33" s="263"/>
      <c r="E33" s="263"/>
      <c r="F33" s="14"/>
      <c r="G33" s="28"/>
      <c r="I33" s="28"/>
    </row>
    <row r="34" spans="2:17" x14ac:dyDescent="0.5">
      <c r="D34" s="263"/>
      <c r="E34" s="263"/>
      <c r="F34" s="14"/>
      <c r="G34" s="28"/>
    </row>
    <row r="35" spans="2:17" x14ac:dyDescent="0.5">
      <c r="D35" s="263"/>
      <c r="E35" s="263"/>
      <c r="F35" s="14"/>
      <c r="G35" s="28"/>
    </row>
    <row r="36" spans="2:17" x14ac:dyDescent="0.5">
      <c r="D36" s="263"/>
      <c r="E36" s="263"/>
      <c r="F36" s="14"/>
      <c r="G36" s="28"/>
    </row>
    <row r="37" spans="2:17" x14ac:dyDescent="0.5">
      <c r="D37" s="263"/>
      <c r="E37" s="263"/>
      <c r="F37" s="13"/>
      <c r="G37" s="28"/>
      <c r="I37" s="28"/>
    </row>
    <row r="38" spans="2:17" x14ac:dyDescent="0.5">
      <c r="D38" s="263"/>
      <c r="E38" s="263"/>
      <c r="F38" s="13"/>
      <c r="G38" s="28"/>
    </row>
    <row r="39" spans="2:17" x14ac:dyDescent="0.5">
      <c r="D39" s="263"/>
      <c r="E39" s="263"/>
      <c r="F39" s="263"/>
      <c r="G39" s="14"/>
    </row>
    <row r="40" spans="2:17" x14ac:dyDescent="0.5">
      <c r="D40" s="28"/>
      <c r="G40" s="14"/>
      <c r="H40" s="28"/>
    </row>
    <row r="41" spans="2:17" ht="17.649999999999999" customHeight="1" x14ac:dyDescent="0.5">
      <c r="Q41" s="31"/>
    </row>
    <row r="42" spans="2:17" x14ac:dyDescent="0.5"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2:17" x14ac:dyDescent="0.5"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</row>
    <row r="45" spans="2:17" x14ac:dyDescent="0.5">
      <c r="B45" s="28"/>
      <c r="E45" s="28"/>
    </row>
    <row r="46" spans="2:17" x14ac:dyDescent="0.5">
      <c r="C46" s="28"/>
    </row>
    <row r="47" spans="2:17" x14ac:dyDescent="0.5">
      <c r="D47" s="263"/>
      <c r="E47" s="263"/>
      <c r="F47" s="263"/>
      <c r="G47" s="263"/>
      <c r="H47" s="263"/>
      <c r="I47" s="263"/>
      <c r="K47" s="263"/>
      <c r="L47" s="263"/>
      <c r="M47" s="263"/>
      <c r="N47" s="263"/>
      <c r="O47" s="263"/>
      <c r="P47" s="263"/>
    </row>
    <row r="50" spans="4:17" x14ac:dyDescent="0.5">
      <c r="D50" s="28"/>
    </row>
    <row r="51" spans="4:17" x14ac:dyDescent="0.5">
      <c r="D51" s="263"/>
      <c r="E51" s="263"/>
      <c r="F51" s="14"/>
      <c r="G51" s="28"/>
    </row>
    <row r="52" spans="4:17" x14ac:dyDescent="0.5">
      <c r="D52" s="263"/>
      <c r="E52" s="263"/>
      <c r="F52" s="14"/>
    </row>
    <row r="53" spans="4:17" x14ac:dyDescent="0.5">
      <c r="D53" s="263"/>
      <c r="E53" s="263"/>
      <c r="F53" s="13"/>
    </row>
    <row r="54" spans="4:17" x14ac:dyDescent="0.5">
      <c r="D54" s="263"/>
      <c r="E54" s="263"/>
      <c r="F54" s="13"/>
    </row>
    <row r="55" spans="4:17" x14ac:dyDescent="0.5">
      <c r="D55" s="263"/>
      <c r="E55" s="263"/>
      <c r="F55" s="263"/>
      <c r="G55" s="14"/>
    </row>
    <row r="56" spans="4:17" ht="17.649999999999999" customHeight="1" x14ac:dyDescent="0.5">
      <c r="Q56" s="33"/>
    </row>
    <row r="57" spans="4:17" x14ac:dyDescent="0.5"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</row>
    <row r="58" spans="4:17" x14ac:dyDescent="0.5"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</row>
    <row r="61" spans="4:17" x14ac:dyDescent="0.5">
      <c r="E61" s="14"/>
    </row>
    <row r="62" spans="4:17" x14ac:dyDescent="0.5">
      <c r="D62" s="263"/>
      <c r="E62" s="263"/>
      <c r="F62" s="263"/>
      <c r="G62" s="263"/>
      <c r="H62" s="263"/>
      <c r="I62" s="263"/>
      <c r="K62" s="263"/>
      <c r="L62" s="263"/>
      <c r="M62" s="263"/>
      <c r="N62" s="263"/>
      <c r="O62" s="263"/>
      <c r="P62" s="263"/>
    </row>
    <row r="66" spans="4:17" x14ac:dyDescent="0.5">
      <c r="D66" s="263"/>
      <c r="E66" s="263"/>
    </row>
    <row r="67" spans="4:17" x14ac:dyDescent="0.5">
      <c r="D67" s="263"/>
      <c r="E67" s="263"/>
      <c r="F67" s="14"/>
    </row>
    <row r="70" spans="4:17" x14ac:dyDescent="0.5">
      <c r="E70" s="14"/>
      <c r="F70" s="28"/>
      <c r="J70" s="28"/>
    </row>
    <row r="71" spans="4:17" x14ac:dyDescent="0.5">
      <c r="D71" s="263"/>
      <c r="E71" s="263"/>
      <c r="F71" s="263"/>
      <c r="G71" s="263"/>
      <c r="H71" s="263"/>
      <c r="I71" s="263"/>
      <c r="K71" s="263"/>
      <c r="L71" s="263"/>
      <c r="M71" s="263"/>
      <c r="N71" s="263"/>
      <c r="O71" s="263"/>
      <c r="P71" s="263"/>
    </row>
    <row r="75" spans="4:17" x14ac:dyDescent="0.5">
      <c r="D75" s="263"/>
      <c r="E75" s="263"/>
      <c r="F75" s="14"/>
      <c r="H75" s="28"/>
    </row>
    <row r="76" spans="4:17" x14ac:dyDescent="0.5">
      <c r="D76" s="263"/>
      <c r="E76" s="263"/>
      <c r="F76" s="14"/>
    </row>
    <row r="77" spans="4:17" x14ac:dyDescent="0.5">
      <c r="D77" s="263"/>
      <c r="E77" s="263"/>
      <c r="F77" s="13"/>
    </row>
    <row r="78" spans="4:17" x14ac:dyDescent="0.5">
      <c r="D78" s="263"/>
      <c r="E78" s="263"/>
      <c r="F78" s="263"/>
      <c r="G78" s="14"/>
    </row>
    <row r="79" spans="4:17" ht="18.75" customHeight="1" x14ac:dyDescent="0.5">
      <c r="Q79" s="33"/>
    </row>
    <row r="80" spans="4:17" x14ac:dyDescent="0.5"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2:17" x14ac:dyDescent="0.5"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</row>
    <row r="82" spans="2:17" x14ac:dyDescent="0.5"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</row>
    <row r="84" spans="2:17" x14ac:dyDescent="0.5">
      <c r="B84" s="28"/>
    </row>
    <row r="85" spans="2:17" x14ac:dyDescent="0.5">
      <c r="C85" s="28"/>
      <c r="I85" s="14"/>
    </row>
    <row r="87" spans="2:17" x14ac:dyDescent="0.5">
      <c r="E87" s="14"/>
      <c r="F87" s="28"/>
    </row>
    <row r="89" spans="2:17" x14ac:dyDescent="0.5">
      <c r="D89" s="263"/>
      <c r="E89" s="263"/>
      <c r="F89" s="14"/>
    </row>
    <row r="91" spans="2:17" x14ac:dyDescent="0.5">
      <c r="E91" s="14"/>
    </row>
    <row r="94" spans="2:17" x14ac:dyDescent="0.5">
      <c r="E94" s="14"/>
      <c r="F94" s="28"/>
    </row>
    <row r="95" spans="2:17" x14ac:dyDescent="0.5">
      <c r="D95" s="28"/>
    </row>
    <row r="96" spans="2:17" x14ac:dyDescent="0.5">
      <c r="D96" s="263"/>
      <c r="E96" s="263"/>
      <c r="F96" s="14"/>
      <c r="G96" s="28"/>
      <c r="I96" s="28"/>
    </row>
    <row r="97" spans="4:16" x14ac:dyDescent="0.5">
      <c r="D97" s="263"/>
      <c r="E97" s="263"/>
      <c r="F97" s="14"/>
      <c r="G97" s="28"/>
    </row>
    <row r="98" spans="4:16" x14ac:dyDescent="0.5">
      <c r="D98" s="263"/>
      <c r="E98" s="263"/>
      <c r="F98" s="14"/>
      <c r="G98" s="28"/>
    </row>
    <row r="99" spans="4:16" x14ac:dyDescent="0.5">
      <c r="D99" s="263"/>
      <c r="E99" s="263"/>
      <c r="F99" s="14"/>
      <c r="G99" s="14"/>
      <c r="I99" s="28"/>
    </row>
    <row r="100" spans="4:16" x14ac:dyDescent="0.5">
      <c r="D100" s="273"/>
      <c r="E100" s="273"/>
      <c r="F100" s="273"/>
      <c r="G100" s="273"/>
      <c r="H100" s="273"/>
      <c r="I100" s="273"/>
      <c r="J100" s="273"/>
      <c r="K100" s="273"/>
      <c r="L100" s="273"/>
      <c r="M100" s="273"/>
      <c r="N100" s="273"/>
      <c r="O100" s="273"/>
      <c r="P100" s="273"/>
    </row>
    <row r="101" spans="4:16" x14ac:dyDescent="0.5">
      <c r="E101" s="14"/>
      <c r="F101" s="28"/>
    </row>
    <row r="102" spans="4:16" x14ac:dyDescent="0.5">
      <c r="D102" s="263"/>
      <c r="E102" s="263"/>
    </row>
    <row r="103" spans="4:16" x14ac:dyDescent="0.5">
      <c r="D103" s="263"/>
      <c r="E103" s="263"/>
      <c r="F103" s="14"/>
      <c r="H103" s="28"/>
    </row>
    <row r="104" spans="4:16" x14ac:dyDescent="0.5">
      <c r="D104" s="263"/>
      <c r="E104" s="263"/>
      <c r="F104" s="263"/>
      <c r="G104" s="263"/>
      <c r="H104" s="263"/>
      <c r="I104" s="263"/>
      <c r="K104" s="263"/>
      <c r="L104" s="263"/>
      <c r="M104" s="263"/>
      <c r="N104" s="263"/>
      <c r="O104" s="263"/>
      <c r="P104" s="263"/>
    </row>
    <row r="107" spans="4:16" x14ac:dyDescent="0.5">
      <c r="G107" s="14"/>
    </row>
    <row r="108" spans="4:16" x14ac:dyDescent="0.5">
      <c r="G108" s="14"/>
    </row>
    <row r="109" spans="4:16" x14ac:dyDescent="0.5">
      <c r="E109" s="14"/>
      <c r="G109" s="14"/>
    </row>
    <row r="111" spans="4:16" x14ac:dyDescent="0.5">
      <c r="E111" s="14"/>
    </row>
    <row r="113" spans="2:11" x14ac:dyDescent="0.5">
      <c r="G113" s="14"/>
    </row>
    <row r="116" spans="2:11" x14ac:dyDescent="0.5">
      <c r="E116" s="14"/>
    </row>
    <row r="117" spans="2:11" x14ac:dyDescent="0.5">
      <c r="D117" s="263"/>
      <c r="E117" s="263"/>
    </row>
    <row r="118" spans="2:11" x14ac:dyDescent="0.5">
      <c r="D118" s="263"/>
      <c r="E118" s="263"/>
      <c r="F118" s="14"/>
    </row>
    <row r="120" spans="2:11" x14ac:dyDescent="0.5">
      <c r="B120" s="35"/>
    </row>
    <row r="121" spans="2:11" x14ac:dyDescent="0.5">
      <c r="B121" s="35"/>
      <c r="C121" s="35"/>
      <c r="F121" s="35"/>
    </row>
    <row r="122" spans="2:11" x14ac:dyDescent="0.5">
      <c r="B122" s="35"/>
      <c r="C122" s="35"/>
    </row>
    <row r="123" spans="2:11" x14ac:dyDescent="0.5">
      <c r="B123" s="35"/>
      <c r="C123" s="35"/>
    </row>
    <row r="124" spans="2:11" x14ac:dyDescent="0.5">
      <c r="B124" s="35"/>
      <c r="C124" s="35"/>
    </row>
    <row r="125" spans="2:11" x14ac:dyDescent="0.5">
      <c r="C125" s="35"/>
    </row>
    <row r="128" spans="2:11" x14ac:dyDescent="0.5">
      <c r="D128" s="28"/>
      <c r="K128" s="28"/>
    </row>
    <row r="129" spans="2:16" x14ac:dyDescent="0.5">
      <c r="B129" s="36"/>
      <c r="D129" s="263"/>
      <c r="E129" s="263"/>
      <c r="F129" s="263"/>
      <c r="G129" s="263"/>
      <c r="H129" s="263"/>
      <c r="I129" s="263"/>
      <c r="K129" s="263"/>
      <c r="L129" s="263"/>
      <c r="M129" s="263"/>
      <c r="N129" s="263"/>
      <c r="O129" s="263"/>
      <c r="P129" s="263"/>
    </row>
    <row r="130" spans="2:16" x14ac:dyDescent="0.5">
      <c r="C130" s="36"/>
    </row>
    <row r="134" spans="2:16" x14ac:dyDescent="0.5">
      <c r="D134" s="263"/>
      <c r="E134" s="263"/>
      <c r="F134" s="263"/>
      <c r="G134" s="263"/>
      <c r="H134" s="263"/>
      <c r="I134" s="263"/>
      <c r="K134" s="263"/>
      <c r="L134" s="263"/>
      <c r="M134" s="263"/>
      <c r="N134" s="263"/>
      <c r="O134" s="263"/>
      <c r="P134" s="263"/>
    </row>
    <row r="137" spans="2:16" x14ac:dyDescent="0.5">
      <c r="B137" s="28"/>
    </row>
    <row r="138" spans="2:16" x14ac:dyDescent="0.5">
      <c r="C138" s="28"/>
      <c r="D138" s="28"/>
      <c r="F138" s="37"/>
    </row>
    <row r="140" spans="2:16" x14ac:dyDescent="0.5"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</row>
    <row r="141" spans="2:16" x14ac:dyDescent="0.5">
      <c r="D141" s="263"/>
      <c r="E141" s="263"/>
      <c r="F141" s="263"/>
      <c r="G141" s="263"/>
      <c r="H141" s="263"/>
      <c r="I141" s="263"/>
      <c r="K141" s="263"/>
      <c r="L141" s="263"/>
      <c r="M141" s="263"/>
      <c r="N141" s="263"/>
      <c r="O141" s="263"/>
      <c r="P141" s="263"/>
    </row>
    <row r="145" spans="5:6" x14ac:dyDescent="0.5">
      <c r="E145" s="14"/>
      <c r="F145" s="28"/>
    </row>
  </sheetData>
  <sheetProtection algorithmName="SHA-512" hashValue="kwvoqTfoblfynLC/AixzSjqAHTSW5uobJbvPBdFAGFaDJUmLgNa48Bz6dWEIg3jDwMhtXB8EvyOiDbrwak7YGQ==" saltValue="5dyV3p4bu3QngB5/oZXkTQ==" spinCount="100000" sheet="1" objects="1" scenarios="1"/>
  <mergeCells count="55">
    <mergeCell ref="D117:E117"/>
    <mergeCell ref="D103:E103"/>
    <mergeCell ref="D104:I104"/>
    <mergeCell ref="D134:I134"/>
    <mergeCell ref="K134:P134"/>
    <mergeCell ref="D129:I129"/>
    <mergeCell ref="K129:P129"/>
    <mergeCell ref="D118:E118"/>
    <mergeCell ref="D62:I62"/>
    <mergeCell ref="D97:E97"/>
    <mergeCell ref="D100:P100"/>
    <mergeCell ref="D98:E98"/>
    <mergeCell ref="D99:E99"/>
    <mergeCell ref="K62:P62"/>
    <mergeCell ref="D67:E67"/>
    <mergeCell ref="D66:E66"/>
    <mergeCell ref="D78:F78"/>
    <mergeCell ref="D71:I71"/>
    <mergeCell ref="K71:P71"/>
    <mergeCell ref="D75:E75"/>
    <mergeCell ref="D76:E76"/>
    <mergeCell ref="D77:E77"/>
    <mergeCell ref="D36:E36"/>
    <mergeCell ref="D54:E54"/>
    <mergeCell ref="D55:F55"/>
    <mergeCell ref="D37:E37"/>
    <mergeCell ref="D38:E38"/>
    <mergeCell ref="D39:F39"/>
    <mergeCell ref="D47:I47"/>
    <mergeCell ref="B1:P1"/>
    <mergeCell ref="K9:P9"/>
    <mergeCell ref="D23:E23"/>
    <mergeCell ref="D25:E25"/>
    <mergeCell ref="B5:B6"/>
    <mergeCell ref="K5:P5"/>
    <mergeCell ref="D24:E24"/>
    <mergeCell ref="C5:I5"/>
    <mergeCell ref="C9:H9"/>
    <mergeCell ref="B15:G15"/>
    <mergeCell ref="D141:I141"/>
    <mergeCell ref="K141:P141"/>
    <mergeCell ref="K104:P104"/>
    <mergeCell ref="D26:F26"/>
    <mergeCell ref="D29:I29"/>
    <mergeCell ref="K29:P29"/>
    <mergeCell ref="D33:E33"/>
    <mergeCell ref="K47:P47"/>
    <mergeCell ref="D51:E51"/>
    <mergeCell ref="D52:E52"/>
    <mergeCell ref="D53:E53"/>
    <mergeCell ref="D35:E35"/>
    <mergeCell ref="D89:E89"/>
    <mergeCell ref="D102:E102"/>
    <mergeCell ref="D96:E96"/>
    <mergeCell ref="D34:E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66</v>
      </c>
      <c r="E1" s="180"/>
    </row>
    <row r="2" spans="1:10" s="26" customFormat="1" ht="13.15" thickBot="1" x14ac:dyDescent="0.4"/>
    <row r="3" spans="1:10" s="26" customFormat="1" x14ac:dyDescent="0.35">
      <c r="A3" s="278" t="s">
        <v>233</v>
      </c>
      <c r="B3" s="279"/>
      <c r="C3" s="279"/>
      <c r="D3" s="279"/>
      <c r="E3" s="280"/>
      <c r="G3" s="278" t="s">
        <v>234</v>
      </c>
      <c r="H3" s="279"/>
      <c r="I3" s="280"/>
    </row>
    <row r="4" spans="1:10" x14ac:dyDescent="0.35">
      <c r="A4" s="274" t="s">
        <v>228</v>
      </c>
      <c r="B4" s="275"/>
      <c r="C4" s="275"/>
      <c r="D4" s="181" t="s">
        <v>229</v>
      </c>
      <c r="E4" s="183" t="s">
        <v>273</v>
      </c>
      <c r="G4" s="76" t="s">
        <v>228</v>
      </c>
      <c r="H4" s="74" t="s">
        <v>117</v>
      </c>
      <c r="I4" s="77" t="s">
        <v>123</v>
      </c>
    </row>
    <row r="5" spans="1:10" x14ac:dyDescent="0.35">
      <c r="A5" s="274" t="s">
        <v>251</v>
      </c>
      <c r="B5" s="275"/>
      <c r="C5" s="275"/>
      <c r="D5" s="181">
        <v>16</v>
      </c>
      <c r="E5" s="184">
        <v>1894</v>
      </c>
      <c r="G5" s="76" t="s">
        <v>248</v>
      </c>
      <c r="H5" s="75">
        <v>40</v>
      </c>
      <c r="I5" s="77">
        <v>2</v>
      </c>
    </row>
    <row r="6" spans="1:10" x14ac:dyDescent="0.35">
      <c r="A6" s="274" t="s">
        <v>266</v>
      </c>
      <c r="B6" s="275"/>
      <c r="C6" s="275"/>
      <c r="D6" s="181">
        <v>30</v>
      </c>
      <c r="E6" s="184">
        <v>1896</v>
      </c>
      <c r="G6" s="76" t="s">
        <v>249</v>
      </c>
      <c r="H6" s="75">
        <v>50</v>
      </c>
      <c r="I6" s="77">
        <v>1</v>
      </c>
      <c r="J6">
        <v>3</v>
      </c>
    </row>
    <row r="7" spans="1:10" x14ac:dyDescent="0.35">
      <c r="A7" s="274" t="s">
        <v>271</v>
      </c>
      <c r="B7" s="275"/>
      <c r="C7" s="275"/>
      <c r="D7" s="181">
        <v>20</v>
      </c>
      <c r="E7" s="184">
        <v>1895</v>
      </c>
      <c r="G7" s="76" t="s">
        <v>250</v>
      </c>
      <c r="H7" s="75">
        <v>40</v>
      </c>
      <c r="I7" s="77">
        <v>3</v>
      </c>
    </row>
    <row r="8" spans="1:10" x14ac:dyDescent="0.35">
      <c r="A8" s="274"/>
      <c r="B8" s="275"/>
      <c r="C8" s="275"/>
      <c r="D8" s="182"/>
      <c r="E8" s="185"/>
      <c r="G8" s="195" t="s">
        <v>282</v>
      </c>
      <c r="H8" s="75">
        <v>45</v>
      </c>
      <c r="I8" s="77">
        <v>2</v>
      </c>
    </row>
    <row r="9" spans="1:10" x14ac:dyDescent="0.35">
      <c r="A9" s="274"/>
      <c r="B9" s="275"/>
      <c r="C9" s="275"/>
      <c r="D9" s="181"/>
      <c r="E9" s="183"/>
      <c r="G9" s="195" t="s">
        <v>283</v>
      </c>
      <c r="H9" s="75">
        <v>40</v>
      </c>
      <c r="I9" s="77">
        <v>1</v>
      </c>
      <c r="J9">
        <v>2</v>
      </c>
    </row>
    <row r="10" spans="1:10" x14ac:dyDescent="0.35">
      <c r="A10" s="274"/>
      <c r="B10" s="275"/>
      <c r="C10" s="275"/>
      <c r="D10" s="182"/>
      <c r="E10" s="185"/>
      <c r="G10" s="76"/>
      <c r="H10" s="75"/>
      <c r="I10" s="77"/>
    </row>
    <row r="11" spans="1:10" x14ac:dyDescent="0.35">
      <c r="A11" s="274"/>
      <c r="B11" s="275"/>
      <c r="C11" s="275"/>
      <c r="D11" s="181"/>
      <c r="E11" s="183"/>
      <c r="G11" s="76"/>
      <c r="H11" s="75"/>
      <c r="I11" s="77"/>
    </row>
    <row r="12" spans="1:10" x14ac:dyDescent="0.35">
      <c r="A12" s="274"/>
      <c r="B12" s="275"/>
      <c r="C12" s="275"/>
      <c r="D12" s="181"/>
      <c r="E12" s="183"/>
      <c r="G12" s="76"/>
      <c r="H12" s="75"/>
      <c r="I12" s="77"/>
    </row>
    <row r="13" spans="1:10" ht="13.15" thickBot="1" x14ac:dyDescent="0.4">
      <c r="A13" s="274"/>
      <c r="B13" s="275"/>
      <c r="C13" s="275"/>
      <c r="D13" s="181"/>
      <c r="E13" s="183"/>
      <c r="G13" s="78"/>
      <c r="H13" s="173"/>
      <c r="I13" s="79"/>
    </row>
    <row r="14" spans="1:10" ht="13.15" thickBot="1" x14ac:dyDescent="0.4">
      <c r="A14" s="276"/>
      <c r="B14" s="277"/>
      <c r="C14" s="277"/>
      <c r="D14" s="186"/>
      <c r="E14" s="187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n/ERQeAFBD8MHZzyrrdvphualJq6Tz1PxtwwnT6ZArSpIer6tAzIMEs7ytE5wvhS8241mm6rUuIKmmIFb+pwBA==" saltValue="01R2NPWXpq8kgqm+T3ZPQ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1" t="s">
        <v>26</v>
      </c>
      <c r="P1" s="281" t="s">
        <v>29</v>
      </c>
      <c r="Q1" s="281" t="s">
        <v>30</v>
      </c>
    </row>
    <row r="2" spans="1:21" x14ac:dyDescent="0.5">
      <c r="I2" s="281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1"/>
      <c r="Q2" s="281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2" t="s">
        <v>45</v>
      </c>
      <c r="K11" s="282"/>
      <c r="L11" s="282"/>
      <c r="M11" s="282"/>
      <c r="N11" s="282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49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62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73.5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