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egui\Downloads\Nuevo Orden\1896\Inicio\"/>
    </mc:Choice>
  </mc:AlternateContent>
  <xr:revisionPtr revIDLastSave="0" documentId="13_ncr:1_{EB3BE782-8380-45F2-8994-D148E1552C9C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Econ" sheetId="1" r:id="rId1"/>
    <sheet name="Militar" sheetId="3" r:id="rId2"/>
    <sheet name="Colonias" sheetId="4" r:id="rId3"/>
    <sheet name="Ferrocarriles" sheetId="5" r:id="rId4"/>
    <sheet name="Data" sheetId="2" state="hidden" r:id="rId5"/>
  </sheets>
  <definedNames>
    <definedName name="Bond_rating">Data!$M$31:$N$36</definedName>
    <definedName name="Econ_chart">Data!$J$13:$N$19</definedName>
    <definedName name="Econ_level">Data!$J$22:$J$28</definedName>
    <definedName name="Invest_option">Data!$Q$31:$Q$32</definedName>
    <definedName name="Land_Builds">Data!$B$13:$F$18</definedName>
    <definedName name="Mil_Buildings">Data!$T$3:$T$7</definedName>
    <definedName name="MilitaryB_cost">Data!$T$4:$U$7</definedName>
    <definedName name="Naval_builds">Data!$B$23:$G$28</definedName>
    <definedName name="Ship_size">Data!$B$32:$J$37</definedName>
    <definedName name="Ship_types">Data!$B$31:$B$37</definedName>
    <definedName name="ShipQlookup">Data!$B$40:$C$45</definedName>
    <definedName name="Weapon_Quality">Data!$D$2:$D$8</definedName>
    <definedName name="Yes_No">Data!$B$4:$B$6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4" l="1"/>
  <c r="B25" i="3" l="1"/>
  <c r="B39" i="4" l="1"/>
  <c r="B36" i="4" l="1"/>
  <c r="B37" i="4"/>
  <c r="B40" i="4"/>
  <c r="B35" i="4"/>
  <c r="G204" i="1" l="1"/>
  <c r="C96" i="1"/>
  <c r="C97" i="1"/>
  <c r="C98" i="1"/>
  <c r="C95" i="1"/>
  <c r="B96" i="1"/>
  <c r="B97" i="1"/>
  <c r="B98" i="1"/>
  <c r="B95" i="1"/>
  <c r="H87" i="1"/>
  <c r="H88" i="1"/>
  <c r="H89" i="1"/>
  <c r="H90" i="1"/>
  <c r="H91" i="1"/>
  <c r="E80" i="1"/>
  <c r="G80" i="1" s="1"/>
  <c r="E81" i="1"/>
  <c r="G81" i="1" s="1"/>
  <c r="E82" i="1"/>
  <c r="F82" i="1" s="1"/>
  <c r="E83" i="1"/>
  <c r="F83" i="1" s="1"/>
  <c r="E84" i="1"/>
  <c r="F84" i="1" s="1"/>
  <c r="E85" i="1"/>
  <c r="G85" i="1" s="1"/>
  <c r="E86" i="1"/>
  <c r="F86" i="1" s="1"/>
  <c r="C88" i="1"/>
  <c r="C89" i="1"/>
  <c r="C90" i="1"/>
  <c r="C91" i="1"/>
  <c r="C87" i="1"/>
  <c r="B87" i="1"/>
  <c r="F80" i="1" l="1"/>
  <c r="F85" i="1"/>
  <c r="G84" i="1"/>
  <c r="G83" i="1"/>
  <c r="F81" i="1"/>
  <c r="G86" i="1"/>
  <c r="G82" i="1"/>
  <c r="B91" i="1"/>
  <c r="E96" i="1"/>
  <c r="E97" i="1"/>
  <c r="E98" i="1"/>
  <c r="E95" i="1"/>
  <c r="B88" i="1" l="1"/>
  <c r="B89" i="1"/>
  <c r="B90" i="1"/>
  <c r="G88" i="1"/>
  <c r="E88" i="1"/>
  <c r="F88" i="1" s="1"/>
  <c r="E89" i="1"/>
  <c r="F89" i="1" s="1"/>
  <c r="E90" i="1"/>
  <c r="G90" i="1" s="1"/>
  <c r="E91" i="1"/>
  <c r="G91" i="1" s="1"/>
  <c r="E87" i="1"/>
  <c r="F87" i="1" s="1"/>
  <c r="K7" i="4"/>
  <c r="L7" i="4"/>
  <c r="M7" i="4"/>
  <c r="N7" i="4"/>
  <c r="O7" i="4"/>
  <c r="P7" i="4"/>
  <c r="D7" i="4"/>
  <c r="E7" i="4"/>
  <c r="F7" i="4"/>
  <c r="G7" i="4"/>
  <c r="H7" i="4"/>
  <c r="F32" i="1" s="1"/>
  <c r="I7" i="4"/>
  <c r="C7" i="4"/>
  <c r="G89" i="1" l="1"/>
  <c r="F91" i="1"/>
  <c r="F90" i="1"/>
  <c r="G87" i="1"/>
  <c r="C88" i="3"/>
  <c r="C175" i="1" l="1"/>
  <c r="C176" i="1"/>
  <c r="C177" i="1"/>
  <c r="C174" i="1"/>
  <c r="C156" i="1" l="1"/>
  <c r="C157" i="1"/>
  <c r="C158" i="1"/>
  <c r="C159" i="1"/>
  <c r="C160" i="1"/>
  <c r="C155" i="1"/>
  <c r="B160" i="1"/>
  <c r="B159" i="1"/>
  <c r="B158" i="1"/>
  <c r="B157" i="1"/>
  <c r="B156" i="1"/>
  <c r="B155" i="1"/>
  <c r="F114" i="1"/>
  <c r="F115" i="1"/>
  <c r="F116" i="1"/>
  <c r="F117" i="1"/>
  <c r="F118" i="1"/>
  <c r="F119" i="1"/>
  <c r="F120" i="1"/>
  <c r="F121" i="1"/>
  <c r="F113" i="1"/>
  <c r="E114" i="1"/>
  <c r="E115" i="1"/>
  <c r="E116" i="1"/>
  <c r="E117" i="1"/>
  <c r="E118" i="1"/>
  <c r="E119" i="1"/>
  <c r="E120" i="1"/>
  <c r="E121" i="1"/>
  <c r="E113" i="1"/>
  <c r="F96" i="1" l="1"/>
  <c r="F97" i="1"/>
  <c r="F98" i="1"/>
  <c r="F95" i="1"/>
  <c r="E79" i="1" l="1"/>
  <c r="G79" i="1" s="1"/>
  <c r="E78" i="1"/>
  <c r="F78" i="1" s="1"/>
  <c r="G62" i="1"/>
  <c r="F62" i="1"/>
  <c r="E62" i="1"/>
  <c r="D62" i="1"/>
  <c r="C62" i="1"/>
  <c r="B62" i="1"/>
  <c r="B31" i="1"/>
  <c r="E24" i="1"/>
  <c r="C24" i="1"/>
  <c r="B24" i="1"/>
  <c r="F79" i="1" l="1"/>
  <c r="G78" i="1"/>
  <c r="G92" i="1" l="1"/>
  <c r="F156" i="1"/>
  <c r="D32" i="1" l="1"/>
  <c r="D34" i="1" s="1"/>
  <c r="F34" i="1"/>
  <c r="F107" i="1" l="1"/>
  <c r="F106" i="1"/>
  <c r="F105" i="1"/>
  <c r="F104" i="1"/>
  <c r="G33" i="1" l="1"/>
  <c r="G35" i="1" s="1"/>
  <c r="F33" i="1"/>
  <c r="F35" i="1" s="1"/>
  <c r="E33" i="1"/>
  <c r="E35" i="1" s="1"/>
  <c r="D33" i="1"/>
  <c r="D35" i="1" s="1"/>
  <c r="C33" i="1"/>
  <c r="C35" i="1" s="1"/>
  <c r="G32" i="1"/>
  <c r="G34" i="1" s="1"/>
  <c r="E32" i="1"/>
  <c r="E34" i="1" s="1"/>
  <c r="C32" i="1"/>
  <c r="C34" i="1" s="1"/>
  <c r="B32" i="1"/>
  <c r="B34" i="1" s="1"/>
  <c r="E41" i="2" l="1"/>
  <c r="G156" i="1" s="1"/>
  <c r="D1" i="5" l="1"/>
  <c r="B9" i="1" s="1"/>
  <c r="K140" i="1" l="1"/>
  <c r="K139" i="1"/>
  <c r="K138" i="1"/>
  <c r="F158" i="1" l="1"/>
  <c r="F157" i="1"/>
  <c r="F155" i="1"/>
  <c r="F159" i="1" l="1"/>
  <c r="F160" i="1"/>
  <c r="B33" i="1" l="1"/>
  <c r="D67" i="1" l="1"/>
  <c r="O60" i="1" l="1"/>
  <c r="N60" i="1"/>
  <c r="M60" i="1"/>
  <c r="L60" i="1"/>
  <c r="K60" i="1"/>
  <c r="J60" i="1"/>
  <c r="G60" i="1"/>
  <c r="F60" i="1"/>
  <c r="E60" i="1"/>
  <c r="D60" i="1"/>
  <c r="C60" i="1"/>
  <c r="B60" i="1"/>
  <c r="C25" i="1"/>
  <c r="B25" i="1"/>
  <c r="C63" i="1" l="1"/>
  <c r="B63" i="1"/>
  <c r="G31" i="1" l="1"/>
  <c r="F31" i="1"/>
  <c r="E31" i="1"/>
  <c r="D31" i="1"/>
  <c r="C31" i="1"/>
  <c r="D25" i="3"/>
  <c r="B36" i="3" s="1"/>
  <c r="H25" i="3"/>
  <c r="J25" i="3"/>
  <c r="Q12" i="2"/>
  <c r="Q14" i="2" s="1"/>
  <c r="Q15" i="2"/>
  <c r="B35" i="1"/>
  <c r="N24" i="1"/>
  <c r="N26" i="1"/>
  <c r="N25" i="1"/>
  <c r="N27" i="1"/>
  <c r="N28" i="1"/>
  <c r="N23" i="1"/>
  <c r="M24" i="1"/>
  <c r="M26" i="1"/>
  <c r="M25" i="1"/>
  <c r="M27" i="1"/>
  <c r="M28" i="1"/>
  <c r="M23" i="1"/>
  <c r="L24" i="1"/>
  <c r="L26" i="1"/>
  <c r="L25" i="1"/>
  <c r="L27" i="1"/>
  <c r="L28" i="1"/>
  <c r="L23" i="1"/>
  <c r="K24" i="1"/>
  <c r="K26" i="1"/>
  <c r="K25" i="1"/>
  <c r="K27" i="1"/>
  <c r="K28" i="1"/>
  <c r="K23" i="1"/>
  <c r="G120" i="1"/>
  <c r="D23" i="1"/>
  <c r="D25" i="1" s="1"/>
  <c r="D63" i="1" s="1"/>
  <c r="E25" i="1"/>
  <c r="E63" i="1" s="1"/>
  <c r="F23" i="1"/>
  <c r="F25" i="1" s="1"/>
  <c r="F63" i="1" s="1"/>
  <c r="G23" i="1"/>
  <c r="G25" i="1" s="1"/>
  <c r="G63" i="1" s="1"/>
  <c r="C23" i="1"/>
  <c r="B59" i="3"/>
  <c r="D59" i="3"/>
  <c r="L59" i="3"/>
  <c r="H59" i="3"/>
  <c r="J59" i="3"/>
  <c r="F59" i="3"/>
  <c r="C78" i="3"/>
  <c r="C91" i="3"/>
  <c r="C95" i="3"/>
  <c r="I8" i="1"/>
  <c r="H70" i="1"/>
  <c r="J3" i="2"/>
  <c r="K3" i="2"/>
  <c r="L3" i="2"/>
  <c r="M3" i="2"/>
  <c r="J4" i="2"/>
  <c r="K4" i="2"/>
  <c r="L4" i="2"/>
  <c r="M4" i="2"/>
  <c r="J5" i="2"/>
  <c r="K5" i="2"/>
  <c r="L5" i="2"/>
  <c r="M5" i="2"/>
  <c r="J6" i="2"/>
  <c r="K6" i="2"/>
  <c r="L6" i="2"/>
  <c r="M6" i="2"/>
  <c r="E40" i="2"/>
  <c r="G155" i="1" s="1"/>
  <c r="E42" i="2"/>
  <c r="G157" i="1" s="1"/>
  <c r="E43" i="2"/>
  <c r="G158" i="1" s="1"/>
  <c r="E44" i="2"/>
  <c r="G159" i="1" s="1"/>
  <c r="E45" i="2"/>
  <c r="G160" i="1" s="1"/>
  <c r="E46" i="2"/>
  <c r="H36" i="3"/>
  <c r="H71" i="3"/>
  <c r="I69" i="1"/>
  <c r="G69" i="1"/>
  <c r="F69" i="1"/>
  <c r="F25" i="3"/>
  <c r="G68" i="1"/>
  <c r="F68" i="1"/>
  <c r="B23" i="1"/>
  <c r="N29" i="1"/>
  <c r="M29" i="1"/>
  <c r="L29" i="1"/>
  <c r="K29" i="1"/>
  <c r="O24" i="2"/>
  <c r="B151" i="1"/>
  <c r="O26" i="2"/>
  <c r="O28" i="2"/>
  <c r="M25" i="2"/>
  <c r="M26" i="2"/>
  <c r="M27" i="2"/>
  <c r="M28" i="2"/>
  <c r="M24" i="2"/>
  <c r="I146" i="1"/>
  <c r="I67" i="1"/>
  <c r="I68" i="1"/>
  <c r="I70" i="1"/>
  <c r="M138" i="1"/>
  <c r="M139" i="1"/>
  <c r="M140" i="1"/>
  <c r="K137" i="1"/>
  <c r="M137" i="1" s="1"/>
  <c r="B140" i="1"/>
  <c r="B139" i="1"/>
  <c r="B137" i="1"/>
  <c r="B138" i="1"/>
  <c r="B136" i="1"/>
  <c r="H58" i="1" l="1"/>
  <c r="P58" i="1"/>
  <c r="B99" i="3"/>
  <c r="O11" i="3" s="1"/>
  <c r="I9" i="1"/>
  <c r="F99" i="1"/>
  <c r="E99" i="1"/>
  <c r="E100" i="1" s="1"/>
  <c r="P59" i="1"/>
  <c r="H59" i="1"/>
  <c r="O27" i="2"/>
  <c r="B64" i="3"/>
  <c r="B65" i="3" s="1"/>
  <c r="O9" i="3" s="1"/>
  <c r="O25" i="2"/>
  <c r="P25" i="2" s="1"/>
  <c r="Q25" i="2" s="1"/>
  <c r="B71" i="1"/>
  <c r="F108" i="1"/>
  <c r="P24" i="2"/>
  <c r="Q24" i="2" s="1"/>
  <c r="N6" i="2"/>
  <c r="O6" i="2" s="1"/>
  <c r="P6" i="2" s="1"/>
  <c r="Q6" i="2" s="1"/>
  <c r="L140" i="1" s="1"/>
  <c r="P26" i="2"/>
  <c r="Q26" i="2" s="1"/>
  <c r="C178" i="1"/>
  <c r="F161" i="1"/>
  <c r="H161" i="1" s="1"/>
  <c r="F122" i="1"/>
  <c r="P28" i="2"/>
  <c r="Q28" i="2" s="1"/>
  <c r="N5" i="2"/>
  <c r="O5" i="2" s="1"/>
  <c r="P5" i="2" s="1"/>
  <c r="Q5" i="2" s="1"/>
  <c r="L139" i="1" s="1"/>
  <c r="G161" i="1"/>
  <c r="I71" i="1"/>
  <c r="F71" i="1"/>
  <c r="E71" i="1"/>
  <c r="D71" i="1"/>
  <c r="G71" i="1"/>
  <c r="N4" i="2"/>
  <c r="O4" i="2" s="1"/>
  <c r="P4" i="2" s="1"/>
  <c r="Q4" i="2" s="1"/>
  <c r="L138" i="1" s="1"/>
  <c r="N3" i="2"/>
  <c r="O3" i="2" s="1"/>
  <c r="P3" i="2" s="1"/>
  <c r="Q3" i="2" s="1"/>
  <c r="L137" i="1" s="1"/>
  <c r="C71" i="1"/>
  <c r="G28" i="3"/>
  <c r="Q13" i="2"/>
  <c r="B35" i="3"/>
  <c r="B37" i="3" s="1"/>
  <c r="P8" i="3" s="1"/>
  <c r="P60" i="1" l="1"/>
  <c r="H60" i="1"/>
  <c r="O12" i="3"/>
  <c r="B11" i="1" s="1"/>
  <c r="B66" i="3"/>
  <c r="P9" i="3" s="1"/>
  <c r="P12" i="3" s="1"/>
  <c r="B5" i="1" s="1"/>
  <c r="B8" i="1" s="1"/>
  <c r="G63" i="3"/>
  <c r="P27" i="2"/>
  <c r="Q27" i="2" s="1"/>
  <c r="B126" i="1"/>
  <c r="L141" i="1"/>
  <c r="Q16" i="2"/>
  <c r="R16" i="2"/>
  <c r="S16" i="2"/>
  <c r="B127" i="1" l="1"/>
  <c r="B131" i="1"/>
  <c r="D131" i="1" s="1"/>
  <c r="B15" i="1"/>
  <c r="H63" i="1" s="1"/>
  <c r="H71" i="1" s="1"/>
  <c r="F123" i="1" s="1"/>
  <c r="Q17" i="2"/>
  <c r="Q18" i="2"/>
  <c r="H146" i="1" l="1"/>
  <c r="E126" i="1"/>
  <c r="G206" i="1" l="1"/>
  <c r="J28" i="3" s="1"/>
  <c r="H72" i="3" s="1"/>
  <c r="D10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A10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Must have approval of the owner of the Territory before investing.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Has R&amp;R  been completed in territory 
the last 3 game years?
</t>
        </r>
      </text>
    </comment>
    <comment ref="C1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% of R&amp;D completed.</t>
        </r>
      </text>
    </comment>
    <comment ref="D112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Options: No, yes, Continue
</t>
        </r>
      </text>
    </comment>
    <comment ref="C13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Small Arms - 1 per point
</t>
        </r>
      </text>
    </comment>
    <comment ref="D13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E13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Machine Gun - 1 per point</t>
        </r>
      </text>
    </comment>
    <comment ref="F13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G1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Field artilly (light) 2 points per unit</t>
        </r>
      </text>
    </comment>
    <comment ref="H13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Equipment.
$6/each, $7 if B or C, $8 if A.
</t>
        </r>
      </text>
    </comment>
    <comment ref="I13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Heavy Artillery (Siege)- 4 points per unit
</t>
        </r>
      </text>
    </comment>
    <comment ref="J13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
$12/each, $14 if C, $16 if B, $18 of A.</t>
        </r>
      </text>
    </comment>
    <comment ref="B15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5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5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B16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6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6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A183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Use this to add any orders not listed on the sheet like transfer of funds or payment of training.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F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Cost to train your Army.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Cash remaining from Econ page.
</t>
        </r>
      </text>
    </comment>
    <comment ref="B4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D4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48" authorId="1" shapeId="0" xr:uid="{00000000-0006-0000-0100-000005000000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H48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J48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L48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6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Cost per year to train your navy.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N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lots
</t>
        </r>
      </text>
    </comment>
    <comment ref="O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retools on the line.
</t>
        </r>
      </text>
    </comment>
    <comment ref="P12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Total Populaton
</t>
        </r>
      </text>
    </comment>
    <comment ref="Q12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Total population rounded up</t>
        </r>
      </text>
    </comment>
    <comment ref="Q1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Volunter Army +$5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Over limit Cost - $5 if over 150%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if # of divs are less than population: -$5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If # of Div &gt; 2X Population: +$5 (Reserves only)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Gunboats
</t>
        </r>
      </text>
    </comment>
    <comment ref="D22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Destroyers</t>
        </r>
      </text>
    </comment>
    <comment ref="E22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Cruisers
</t>
        </r>
      </text>
    </comment>
    <comment ref="F22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Submarines
</t>
        </r>
      </text>
    </comment>
    <comment ref="G22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Battleships
</t>
        </r>
      </text>
    </comment>
    <comment ref="C31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D31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</commentList>
</comments>
</file>

<file path=xl/sharedStrings.xml><?xml version="1.0" encoding="utf-8"?>
<sst xmlns="http://schemas.openxmlformats.org/spreadsheetml/2006/main" count="635" uniqueCount="301">
  <si>
    <t>Food</t>
  </si>
  <si>
    <t>Tropical</t>
  </si>
  <si>
    <t>Total</t>
  </si>
  <si>
    <t>Total:</t>
  </si>
  <si>
    <t>Goods</t>
  </si>
  <si>
    <t>Balance:</t>
  </si>
  <si>
    <t xml:space="preserve"> </t>
  </si>
  <si>
    <t>%</t>
  </si>
  <si>
    <t>A</t>
  </si>
  <si>
    <t>Yes/No</t>
  </si>
  <si>
    <t>No</t>
  </si>
  <si>
    <t>Land Builds</t>
  </si>
  <si>
    <t>Line 1</t>
  </si>
  <si>
    <t>Line 2</t>
  </si>
  <si>
    <t>Line 3</t>
  </si>
  <si>
    <t>Line 4</t>
  </si>
  <si>
    <t>SA</t>
  </si>
  <si>
    <t>MG</t>
  </si>
  <si>
    <t>FA</t>
  </si>
  <si>
    <t>HA</t>
  </si>
  <si>
    <t>B</t>
  </si>
  <si>
    <t>C</t>
  </si>
  <si>
    <t>D</t>
  </si>
  <si>
    <t>E</t>
  </si>
  <si>
    <t>F</t>
  </si>
  <si>
    <t>Quality</t>
  </si>
  <si>
    <t>Land Build Cost</t>
  </si>
  <si>
    <t>Count</t>
  </si>
  <si>
    <t>Retool(s)</t>
  </si>
  <si>
    <t>Retool Cost</t>
  </si>
  <si>
    <t>Total cost</t>
  </si>
  <si>
    <t>Naval Builds</t>
  </si>
  <si>
    <t>GB</t>
  </si>
  <si>
    <t>DD</t>
  </si>
  <si>
    <t>CA</t>
  </si>
  <si>
    <t>Sub</t>
  </si>
  <si>
    <t>BB</t>
  </si>
  <si>
    <t>Ship Size</t>
  </si>
  <si>
    <t>TTC</t>
  </si>
  <si>
    <t>Ship Types</t>
  </si>
  <si>
    <t>Line</t>
  </si>
  <si>
    <t xml:space="preserve">Total </t>
  </si>
  <si>
    <t>Military Installations</t>
  </si>
  <si>
    <t xml:space="preserve">Total  </t>
  </si>
  <si>
    <t>Normal</t>
  </si>
  <si>
    <t>Economic System</t>
  </si>
  <si>
    <t>Income</t>
  </si>
  <si>
    <t>Cost to recruit</t>
  </si>
  <si>
    <t>Pop:</t>
  </si>
  <si>
    <t>Divs</t>
  </si>
  <si>
    <t>Vol</t>
  </si>
  <si>
    <t>Inf cost</t>
  </si>
  <si>
    <t>Reg Troops</t>
  </si>
  <si>
    <t>Res Troops</t>
  </si>
  <si>
    <t>Investment Data</t>
  </si>
  <si>
    <t>(million)</t>
  </si>
  <si>
    <t>Base $</t>
  </si>
  <si>
    <t>End Cash</t>
  </si>
  <si>
    <t>Inf</t>
  </si>
  <si>
    <t>V2.1</t>
  </si>
  <si>
    <t xml:space="preserve">Balance </t>
  </si>
  <si>
    <t>País</t>
  </si>
  <si>
    <t>Población (millones)</t>
  </si>
  <si>
    <t>Población Tasable (millones):</t>
  </si>
  <si>
    <t>Nivel Económico (I.D.H):</t>
  </si>
  <si>
    <t>Ingresos:</t>
  </si>
  <si>
    <t>Recesión</t>
  </si>
  <si>
    <t>Estancado</t>
  </si>
  <si>
    <t>Fallido</t>
  </si>
  <si>
    <t>Próspero</t>
  </si>
  <si>
    <t>Exitoso</t>
  </si>
  <si>
    <t>Boom</t>
  </si>
  <si>
    <t>Nacionales:</t>
  </si>
  <si>
    <t>Colonial/Ferrocarril</t>
  </si>
  <si>
    <t>Saldo anterior presupuesto:</t>
  </si>
  <si>
    <t>Mantenimiento:</t>
  </si>
  <si>
    <t>Año:</t>
  </si>
  <si>
    <t>Crec:</t>
  </si>
  <si>
    <t>Creditos en Vigor</t>
  </si>
  <si>
    <t>Pago de Intereses</t>
  </si>
  <si>
    <t>Calif. Deuda:</t>
  </si>
  <si>
    <t>Intereses</t>
  </si>
  <si>
    <t>Nacional</t>
  </si>
  <si>
    <t>Ultramar</t>
  </si>
  <si>
    <t>Producción Total:</t>
  </si>
  <si>
    <t>Necesidades:</t>
  </si>
  <si>
    <t>Tabla de precios</t>
  </si>
  <si>
    <t>Compra</t>
  </si>
  <si>
    <t>Venta</t>
  </si>
  <si>
    <t>Mercado Mundial</t>
  </si>
  <si>
    <t>Mercado Cautivo</t>
  </si>
  <si>
    <t>Bienes</t>
  </si>
  <si>
    <t>Comida</t>
  </si>
  <si>
    <t>Exóticos</t>
  </si>
  <si>
    <t>Mat. Primas</t>
  </si>
  <si>
    <t>Carbón</t>
  </si>
  <si>
    <t>Hierro</t>
  </si>
  <si>
    <t>Petroleo*</t>
  </si>
  <si>
    <t>* - No disponible hasta 1905</t>
  </si>
  <si>
    <t>Mat Primas</t>
  </si>
  <si>
    <t>Balance Neto</t>
  </si>
  <si>
    <t>Recursos en Mercados Cautivos</t>
  </si>
  <si>
    <t>Les compramos</t>
  </si>
  <si>
    <t>Les vendemos</t>
  </si>
  <si>
    <t>Compras no cubiertas</t>
  </si>
  <si>
    <t>Ventas no cubiertas</t>
  </si>
  <si>
    <t>Si el valor es distinto de cero la demanda no habrá sido cubierta resultando en problemas políticos y/o posibles contracciones del mercado.</t>
  </si>
  <si>
    <t>Mercados Cautivos</t>
  </si>
  <si>
    <t>Balance</t>
  </si>
  <si>
    <t>(Exportaciones/Ventas/Envíos)</t>
  </si>
  <si>
    <t>(Importaciones/Compras/Recepciones)</t>
  </si>
  <si>
    <t>Balance de recursos</t>
  </si>
  <si>
    <t>Producción de Bienes</t>
  </si>
  <si>
    <t>Usando 1 Ind + 1 Mat Prima</t>
  </si>
  <si>
    <t>Usando 2 Ind + 1 Carbón + 1 Hiero</t>
  </si>
  <si>
    <t>1 Industria Pesada (IP) = 1 Ind+1 Hierro+ 1 Carbón</t>
  </si>
  <si>
    <t>Exóticos = 1 Ind + 6 $</t>
  </si>
  <si>
    <t>Coste</t>
  </si>
  <si>
    <t>Probabilidad de éxito</t>
  </si>
  <si>
    <t>% Increm.</t>
  </si>
  <si>
    <t>Si</t>
  </si>
  <si>
    <t>¿FFCC?</t>
  </si>
  <si>
    <t>FFCC</t>
  </si>
  <si>
    <t>Años</t>
  </si>
  <si>
    <t>IP</t>
  </si>
  <si>
    <t>País/Inversión</t>
  </si>
  <si>
    <t>¿Invertir?</t>
  </si>
  <si>
    <t>Inversión</t>
  </si>
  <si>
    <t>Tecnología</t>
  </si>
  <si>
    <t>Inicio</t>
  </si>
  <si>
    <t>Fin</t>
  </si>
  <si>
    <t>Sintéticos I</t>
  </si>
  <si>
    <t>IP Disponible</t>
  </si>
  <si>
    <t>Bienes/IP</t>
  </si>
  <si>
    <t>Efectivo</t>
  </si>
  <si>
    <t>Industria</t>
  </si>
  <si>
    <t>Balance efectivo</t>
  </si>
  <si>
    <t>Gastos</t>
  </si>
  <si>
    <t>Marina</t>
  </si>
  <si>
    <t>Ejercito</t>
  </si>
  <si>
    <t>Equipamiento Ejercito</t>
  </si>
  <si>
    <t xml:space="preserve"> (hasta 8 puntos por línea)</t>
  </si>
  <si>
    <t>Linea 1</t>
  </si>
  <si>
    <t>Linea 2</t>
  </si>
  <si>
    <t>Linea 3</t>
  </si>
  <si>
    <t>Linea 4</t>
  </si>
  <si>
    <t>AL</t>
  </si>
  <si>
    <t>AM</t>
  </si>
  <si>
    <t>Tec</t>
  </si>
  <si>
    <t>AC</t>
  </si>
  <si>
    <t>AA</t>
  </si>
  <si>
    <t>Puntos usados</t>
  </si>
  <si>
    <t>(AA) Artilería de Asedio D</t>
  </si>
  <si>
    <t>(Ac) Acorazados D</t>
  </si>
  <si>
    <t>(Cr) Cruceros D</t>
  </si>
  <si>
    <t>(BM) Buques Menores D</t>
  </si>
  <si>
    <t>(Su) Submarinos D</t>
  </si>
  <si>
    <t>Inf Reg</t>
  </si>
  <si>
    <t>Inf Res</t>
  </si>
  <si>
    <t>Art Campaña</t>
  </si>
  <si>
    <t>Art Asedio</t>
  </si>
  <si>
    <t>Fza Laboral</t>
  </si>
  <si>
    <t>Coste reclutamiento personal básico por unidad</t>
  </si>
  <si>
    <t>Total Módulos Navales</t>
  </si>
  <si>
    <t>Nueva Construcción</t>
  </si>
  <si>
    <t>Tamaño</t>
  </si>
  <si>
    <t>Cantidad</t>
  </si>
  <si>
    <t>Módulos usados</t>
  </si>
  <si>
    <t>Acorazado</t>
  </si>
  <si>
    <t>Crucero</t>
  </si>
  <si>
    <t>Destructor</t>
  </si>
  <si>
    <t>Cañonera</t>
  </si>
  <si>
    <t>Submarino</t>
  </si>
  <si>
    <t>Transporte</t>
  </si>
  <si>
    <t>Dique seco</t>
  </si>
  <si>
    <t>Años por completar</t>
  </si>
  <si>
    <t>Instalaciones Militares:</t>
  </si>
  <si>
    <t>Tipo</t>
  </si>
  <si>
    <t>Localización</t>
  </si>
  <si>
    <t>Otros gastos</t>
  </si>
  <si>
    <t>Descripción</t>
  </si>
  <si>
    <t>Coste ($)</t>
  </si>
  <si>
    <t>Fuerte</t>
  </si>
  <si>
    <t>Fortaleza</t>
  </si>
  <si>
    <t>Puerto</t>
  </si>
  <si>
    <t>Astillero</t>
  </si>
  <si>
    <t>Inf res</t>
  </si>
  <si>
    <t>Información Militar</t>
  </si>
  <si>
    <t>Info Ejército</t>
  </si>
  <si>
    <t>Total Mantenimiento Militar:</t>
  </si>
  <si>
    <t>Ejerc</t>
  </si>
  <si>
    <t>Fza Lab</t>
  </si>
  <si>
    <t>Instalaciones</t>
  </si>
  <si>
    <t>Eficiencia Militar</t>
  </si>
  <si>
    <t>Cuerpo Voluntarios:</t>
  </si>
  <si>
    <t xml:space="preserve">Mobilization: </t>
  </si>
  <si>
    <t>Entrenamiento Ejercito</t>
  </si>
  <si>
    <t>Notas</t>
  </si>
  <si>
    <t>Regulares</t>
  </si>
  <si>
    <t>Reserva</t>
  </si>
  <si>
    <t xml:space="preserve">Costes de mobilización anual </t>
  </si>
  <si>
    <t>Guerra Total</t>
  </si>
  <si>
    <t>Conflicto Transfonterizo</t>
  </si>
  <si>
    <t>Expediciones coloniales</t>
  </si>
  <si>
    <t>Ac</t>
  </si>
  <si>
    <t>Cr</t>
  </si>
  <si>
    <t>Su</t>
  </si>
  <si>
    <t>Destruc</t>
  </si>
  <si>
    <t>Coste Entrenamiento Naval</t>
  </si>
  <si>
    <t>Coste de Entrenamiento Ejército:</t>
  </si>
  <si>
    <t>Modulos Navales</t>
  </si>
  <si>
    <t>Mant. Marina</t>
  </si>
  <si>
    <t>Entrenamiento Marina</t>
  </si>
  <si>
    <t>Pais</t>
  </si>
  <si>
    <t>Puertos</t>
  </si>
  <si>
    <t>Otros</t>
  </si>
  <si>
    <t>Astilleros</t>
  </si>
  <si>
    <t>Fuertes</t>
  </si>
  <si>
    <t>Fortalezas</t>
  </si>
  <si>
    <t>Metropoli</t>
  </si>
  <si>
    <t>No factorizado automáticamente - deberá ser adquirido en la linea correspondiente de comercio.</t>
  </si>
  <si>
    <t>Aportan</t>
  </si>
  <si>
    <t>Necesitan</t>
  </si>
  <si>
    <t>Dispone</t>
  </si>
  <si>
    <t>Necesita</t>
  </si>
  <si>
    <t>Recurso</t>
  </si>
  <si>
    <t>Proyecto</t>
  </si>
  <si>
    <t>Ingresa</t>
  </si>
  <si>
    <t>Economía</t>
  </si>
  <si>
    <t>Comercio y producción</t>
  </si>
  <si>
    <t>Recursos</t>
  </si>
  <si>
    <t>Existentes</t>
  </si>
  <si>
    <t>Disponibles</t>
  </si>
  <si>
    <t>Inversiones disponibles</t>
  </si>
  <si>
    <t>Investigaciones tecnológicas</t>
  </si>
  <si>
    <t>Inversiones en recursos</t>
  </si>
  <si>
    <t>Inversiones infraestructuras</t>
  </si>
  <si>
    <t>Inversiones otros paises (Necesario el permiso del país soberano)</t>
  </si>
  <si>
    <t>Construcción de armamento y unidades militares</t>
  </si>
  <si>
    <t>Info Naval</t>
  </si>
  <si>
    <t>Info Inst Militares</t>
  </si>
  <si>
    <t>Colonias, Mercados e Inversiones Cautivas</t>
  </si>
  <si>
    <t>% Base</t>
  </si>
  <si>
    <t>Rápido</t>
  </si>
  <si>
    <t>5000 men</t>
  </si>
  <si>
    <t>Kaiser Wilhlemsland</t>
  </si>
  <si>
    <t>Alemania</t>
  </si>
  <si>
    <t>Togo</t>
  </si>
  <si>
    <t>Camerún</t>
  </si>
  <si>
    <t>Africa Oeste</t>
  </si>
  <si>
    <t>Africa Este</t>
  </si>
  <si>
    <t>Excelente</t>
  </si>
  <si>
    <t>5,5 sem</t>
  </si>
  <si>
    <t>Atlántico</t>
  </si>
  <si>
    <t>Atlántico Sur</t>
  </si>
  <si>
    <t>Índico</t>
  </si>
  <si>
    <t>Buena</t>
  </si>
  <si>
    <t xml:space="preserve">Bremerhaven, Wilhemshaven (Atlántico), Kiel, Danzig, Konigsburg (Báltico) </t>
  </si>
  <si>
    <t>Mar del Norte: Helligoland</t>
  </si>
  <si>
    <t>Índico: Dar Es Salam</t>
  </si>
  <si>
    <t xml:space="preserve">Wesel, Cologne, Strasbourg, Breslav, Poznan, Saarbruken, Danzig, Kiel, Heligoland, Wilhelmshaven, Konigsburg, Mulhouse, Metz </t>
  </si>
  <si>
    <t>África del Oeste</t>
  </si>
  <si>
    <t>Kaiser Wilhelmsland y Archip. Bismarck</t>
  </si>
  <si>
    <t>Islas Carolinas</t>
  </si>
  <si>
    <t>Islas Marianas</t>
  </si>
  <si>
    <t>Islas Palau</t>
  </si>
  <si>
    <t>África Este</t>
  </si>
  <si>
    <t>Exótico</t>
  </si>
  <si>
    <t>Expansión</t>
  </si>
  <si>
    <t>Dar Es Salam - Lago Tanganica</t>
  </si>
  <si>
    <t>Duala-Gaoundere</t>
  </si>
  <si>
    <t>África del Este</t>
  </si>
  <si>
    <t>(AL) Armas Ligeras C</t>
  </si>
  <si>
    <t>En Stok:</t>
  </si>
  <si>
    <t>Atlántico Sur: Lome (Togo), Douala (Camerún), Swakopmund (Namibia).</t>
  </si>
  <si>
    <t>(AM) Ametralladoras C</t>
  </si>
  <si>
    <t>(AC) Artillería de Campaña C</t>
  </si>
  <si>
    <t>Red Nacional Chilena</t>
  </si>
  <si>
    <t>Mat Prima</t>
  </si>
  <si>
    <t>Venezuela (hasta 1896)</t>
  </si>
  <si>
    <t>Materia Prima en Camerún</t>
  </si>
  <si>
    <t>Extremo Oriente: Quinhuangdao</t>
  </si>
  <si>
    <t>Ferrocarril Chileno</t>
  </si>
  <si>
    <t>Chile</t>
  </si>
  <si>
    <t>Año</t>
  </si>
  <si>
    <t>Gaoundere-Marowa</t>
  </si>
  <si>
    <t>Holanda (hasta 1896)</t>
  </si>
  <si>
    <t>Suecia (hasta 1896)</t>
  </si>
  <si>
    <t>España  (hasta 1896)</t>
  </si>
  <si>
    <t>Argentina (hasta 1896)</t>
  </si>
  <si>
    <t>Chile (Hasta 1896)</t>
  </si>
  <si>
    <t>Maputo-Pretoria</t>
  </si>
  <si>
    <t>Tropical en Togo, Camerún y África Este</t>
  </si>
  <si>
    <t>FFCC Peking-Qinhuangdao</t>
  </si>
  <si>
    <t>Peking-Qinhuangdao</t>
  </si>
  <si>
    <t>China (Hebei)</t>
  </si>
  <si>
    <t>Lome (Togo) - Kandi</t>
  </si>
  <si>
    <t>6 AL-D / 1 AC-D</t>
  </si>
  <si>
    <t>Pacífico Sur: Isla de Pascua</t>
  </si>
  <si>
    <t>Ferrocarril de Anatolia</t>
  </si>
  <si>
    <t>Anatolia-Basora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</si>
</sst>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164" formatCode="_-* #,##0.00\ &quot;€&quot;_-;\-* #,##0.00\ &quot;€&quot;_-;_-* &quot;-&quot;??\ &quot;€&quot;_-;_-@_-"/>
    <numFmt numFmtId="165" formatCode="&quot;$&quot;#,##0"/>
    <numFmt numFmtId="166" formatCode="0.0"/>
    <numFmt numFmtId="167" formatCode="0_);[Red]\(0\)"/>
    <numFmt numFmtId="168" formatCode="_-* #,##0\ &quot;€&quot;_-;\-* #,##0\ &quot;€&quot;_-;_-* &quot;-&quot;??\ &quot;€&quot;_-;_-@_-"/>
  </numFmts>
  <fonts count="18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sz val="11"/>
      <color rgb="FF000000"/>
      <name val="Arial"/>
      <family val="2"/>
    </font>
    <font>
      <b/>
      <sz val="14"/>
      <color theme="0"/>
      <name val="Times New Roman"/>
      <family val="1"/>
    </font>
    <font>
      <sz val="14"/>
      <color rgb="FF00B05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87">
    <xf numFmtId="0" fontId="0" fillId="0" borderId="0" xfId="0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42" fontId="0" fillId="0" borderId="0" xfId="0" applyNumberForma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9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5" borderId="4" xfId="0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6" fontId="2" fillId="5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165" fontId="1" fillId="5" borderId="16" xfId="0" applyNumberFormat="1" applyFont="1" applyFill="1" applyBorder="1" applyAlignment="1">
      <alignment horizontal="center"/>
    </xf>
    <xf numFmtId="3" fontId="1" fillId="5" borderId="16" xfId="0" applyNumberFormat="1" applyFont="1" applyFill="1" applyBorder="1" applyAlignment="1">
      <alignment horizontal="center"/>
    </xf>
    <xf numFmtId="6" fontId="1" fillId="5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8" fontId="2" fillId="5" borderId="4" xfId="0" applyNumberFormat="1" applyFont="1" applyFill="1" applyBorder="1" applyAlignment="1">
      <alignment horizontal="left" indent="1"/>
    </xf>
    <xf numFmtId="168" fontId="2" fillId="5" borderId="12" xfId="0" applyNumberFormat="1" applyFont="1" applyFill="1" applyBorder="1" applyAlignment="1"/>
    <xf numFmtId="42" fontId="0" fillId="5" borderId="12" xfId="0" applyNumberFormat="1" applyFill="1" applyBorder="1"/>
    <xf numFmtId="6" fontId="0" fillId="5" borderId="12" xfId="0" applyNumberFormat="1" applyFill="1" applyBorder="1"/>
    <xf numFmtId="0" fontId="0" fillId="5" borderId="0" xfId="0" applyFill="1"/>
    <xf numFmtId="0" fontId="0" fillId="5" borderId="12" xfId="0" applyFill="1" applyBorder="1"/>
    <xf numFmtId="168" fontId="0" fillId="5" borderId="12" xfId="1" applyNumberFormat="1" applyFont="1" applyFill="1" applyBorder="1"/>
    <xf numFmtId="0" fontId="0" fillId="5" borderId="28" xfId="0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32" xfId="0" applyFill="1" applyBorder="1"/>
    <xf numFmtId="0" fontId="1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2" fontId="2" fillId="5" borderId="4" xfId="0" applyNumberFormat="1" applyFont="1" applyFill="1" applyBorder="1" applyAlignment="1" applyProtection="1">
      <alignment horizontal="center"/>
    </xf>
    <xf numFmtId="165" fontId="2" fillId="5" borderId="4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6" fontId="2" fillId="0" borderId="0" xfId="0" applyNumberFormat="1" applyFont="1" applyFill="1" applyBorder="1" applyAlignment="1" applyProtection="1">
      <alignment horizontal="center"/>
    </xf>
    <xf numFmtId="9" fontId="2" fillId="5" borderId="4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165" fontId="2" fillId="5" borderId="16" xfId="0" applyNumberFormat="1" applyFont="1" applyFill="1" applyBorder="1" applyAlignment="1" applyProtection="1">
      <alignment horizontal="center"/>
    </xf>
    <xf numFmtId="1" fontId="2" fillId="5" borderId="4" xfId="0" applyNumberFormat="1" applyFont="1" applyFill="1" applyBorder="1" applyAlignment="1" applyProtection="1">
      <alignment horizontal="center"/>
    </xf>
    <xf numFmtId="0" fontId="12" fillId="5" borderId="18" xfId="0" applyFont="1" applyFill="1" applyBorder="1" applyAlignment="1" applyProtection="1">
      <alignment horizontal="center"/>
    </xf>
    <xf numFmtId="1" fontId="2" fillId="5" borderId="18" xfId="0" applyNumberFormat="1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67" fontId="2" fillId="5" borderId="4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167" fontId="2" fillId="5" borderId="15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2" fillId="0" borderId="0" xfId="0" applyNumberFormat="1" applyFont="1" applyFill="1" applyAlignment="1" applyProtection="1">
      <alignment horizontal="center"/>
    </xf>
    <xf numFmtId="6" fontId="2" fillId="5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0" fontId="2" fillId="0" borderId="0" xfId="0" applyFont="1" applyFill="1" applyAlignment="1" applyProtection="1"/>
    <xf numFmtId="0" fontId="11" fillId="0" borderId="0" xfId="0" applyFont="1" applyFill="1" applyAlignment="1" applyProtection="1">
      <alignment horizontal="left"/>
    </xf>
    <xf numFmtId="0" fontId="2" fillId="5" borderId="15" xfId="0" applyFont="1" applyFill="1" applyBorder="1" applyAlignment="1" applyProtection="1">
      <alignment horizontal="center"/>
    </xf>
    <xf numFmtId="165" fontId="2" fillId="5" borderId="15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</xf>
    <xf numFmtId="165" fontId="2" fillId="5" borderId="24" xfId="0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right"/>
    </xf>
    <xf numFmtId="0" fontId="2" fillId="5" borderId="5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0" borderId="0" xfId="0" quotePrefix="1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5" borderId="4" xfId="0" applyFont="1" applyFill="1" applyBorder="1" applyProtection="1"/>
    <xf numFmtId="0" fontId="2" fillId="5" borderId="4" xfId="0" applyFont="1" applyFill="1" applyBorder="1" applyAlignment="1" applyProtection="1"/>
    <xf numFmtId="0" fontId="2" fillId="0" borderId="0" xfId="0" quotePrefix="1" applyFont="1" applyFill="1" applyAlignment="1" applyProtection="1">
      <alignment horizontal="center"/>
    </xf>
    <xf numFmtId="0" fontId="2" fillId="3" borderId="12" xfId="0" applyFont="1" applyFill="1" applyBorder="1" applyAlignment="1" applyProtection="1">
      <alignment horizontal="left" vertical="center"/>
      <protection locked="0"/>
    </xf>
    <xf numFmtId="167" fontId="2" fillId="3" borderId="12" xfId="0" applyNumberFormat="1" applyFont="1" applyFill="1" applyBorder="1" applyAlignment="1" applyProtection="1">
      <alignment horizontal="center"/>
      <protection locked="0"/>
    </xf>
    <xf numFmtId="167" fontId="2" fillId="3" borderId="13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12" xfId="0" applyFont="1" applyFill="1" applyBorder="1" applyAlignment="1"/>
    <xf numFmtId="6" fontId="2" fillId="5" borderId="12" xfId="0" applyNumberFormat="1" applyFont="1" applyFill="1" applyBorder="1" applyAlignment="1">
      <alignment horizontal="center"/>
    </xf>
    <xf numFmtId="9" fontId="2" fillId="5" borderId="12" xfId="2" applyFont="1" applyFill="1" applyBorder="1" applyAlignment="1">
      <alignment horizontal="center"/>
    </xf>
    <xf numFmtId="167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6" fontId="2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6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0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right"/>
    </xf>
    <xf numFmtId="0" fontId="1" fillId="5" borderId="29" xfId="0" applyFont="1" applyFill="1" applyBorder="1" applyAlignment="1">
      <alignment horizontal="center"/>
    </xf>
    <xf numFmtId="0" fontId="0" fillId="5" borderId="2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165" fontId="1" fillId="5" borderId="28" xfId="0" applyNumberFormat="1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168" fontId="0" fillId="5" borderId="31" xfId="1" applyNumberFormat="1" applyFont="1" applyFill="1" applyBorder="1"/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2" fontId="0" fillId="5" borderId="0" xfId="0" applyNumberFormat="1" applyFill="1" applyBorder="1"/>
    <xf numFmtId="42" fontId="0" fillId="5" borderId="29" xfId="0" applyNumberFormat="1" applyFill="1" applyBorder="1" applyAlignment="1">
      <alignment horizontal="center" vertical="center"/>
    </xf>
    <xf numFmtId="1" fontId="0" fillId="5" borderId="29" xfId="0" applyNumberFormat="1" applyFill="1" applyBorder="1" applyAlignment="1">
      <alignment horizontal="center" vertical="center"/>
    </xf>
    <xf numFmtId="42" fontId="0" fillId="5" borderId="31" xfId="0" applyNumberFormat="1" applyFill="1" applyBorder="1"/>
    <xf numFmtId="1" fontId="0" fillId="5" borderId="32" xfId="0" applyNumberForma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5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2" fillId="5" borderId="16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wrapText="1"/>
    </xf>
    <xf numFmtId="0" fontId="2" fillId="5" borderId="8" xfId="0" applyFont="1" applyFill="1" applyBorder="1" applyAlignment="1" applyProtection="1">
      <alignment horizontal="center" wrapText="1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wrapText="1"/>
    </xf>
    <xf numFmtId="0" fontId="2" fillId="5" borderId="7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1" fillId="5" borderId="6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left"/>
    </xf>
    <xf numFmtId="0" fontId="1" fillId="5" borderId="38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left"/>
    </xf>
    <xf numFmtId="0" fontId="17" fillId="6" borderId="0" xfId="0" applyFont="1" applyFill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2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5" borderId="2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6"/>
  <sheetViews>
    <sheetView showGridLines="0" tabSelected="1" zoomScale="75" zoomScaleNormal="75" workbookViewId="0">
      <selection activeCell="D7" sqref="D7"/>
    </sheetView>
  </sheetViews>
  <sheetFormatPr defaultColWidth="9.1328125" defaultRowHeight="17.649999999999999" x14ac:dyDescent="0.5"/>
  <cols>
    <col min="1" max="1" width="48.53125" style="85" customWidth="1"/>
    <col min="2" max="2" width="12.53125" style="85" customWidth="1"/>
    <col min="3" max="3" width="16.3984375" style="85" bestFit="1" customWidth="1"/>
    <col min="4" max="4" width="12.33203125" style="85" bestFit="1" customWidth="1"/>
    <col min="5" max="5" width="12" style="85" bestFit="1" customWidth="1"/>
    <col min="6" max="6" width="21.6640625" style="85" customWidth="1"/>
    <col min="7" max="7" width="11.6640625" style="85" customWidth="1"/>
    <col min="8" max="8" width="11" style="85" customWidth="1"/>
    <col min="9" max="9" width="12.86328125" style="85" customWidth="1"/>
    <col min="10" max="10" width="10.33203125" style="85" customWidth="1"/>
    <col min="11" max="11" width="12.1328125" style="85" customWidth="1"/>
    <col min="12" max="15" width="9.1328125" style="85"/>
    <col min="16" max="16" width="10.86328125" style="85" bestFit="1" customWidth="1"/>
    <col min="17" max="16384" width="9.1328125" style="85"/>
  </cols>
  <sheetData>
    <row r="1" spans="1:17" x14ac:dyDescent="0.5">
      <c r="A1" s="197" t="s">
        <v>228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7" ht="18" thickBot="1" x14ac:dyDescent="0.55000000000000004">
      <c r="A2" s="86" t="s">
        <v>6</v>
      </c>
      <c r="B2" s="86" t="s">
        <v>59</v>
      </c>
    </row>
    <row r="3" spans="1:17" ht="18" thickBot="1" x14ac:dyDescent="0.55000000000000004">
      <c r="A3" s="87" t="s">
        <v>61</v>
      </c>
      <c r="B3" s="87" t="s">
        <v>44</v>
      </c>
      <c r="G3" s="87" t="s">
        <v>76</v>
      </c>
      <c r="H3" s="87">
        <v>1896</v>
      </c>
    </row>
    <row r="4" spans="1:17" ht="18" thickBot="1" x14ac:dyDescent="0.55000000000000004">
      <c r="A4" s="87" t="s">
        <v>62</v>
      </c>
      <c r="B4" s="87">
        <v>46.95</v>
      </c>
      <c r="C4" s="88"/>
      <c r="G4" s="87" t="s">
        <v>77</v>
      </c>
      <c r="H4" s="87" t="s">
        <v>243</v>
      </c>
    </row>
    <row r="5" spans="1:17" ht="18" thickBot="1" x14ac:dyDescent="0.55000000000000004">
      <c r="A5" s="87" t="s">
        <v>63</v>
      </c>
      <c r="B5" s="89">
        <f>B4-Militar!P12</f>
        <v>35.68</v>
      </c>
    </row>
    <row r="6" spans="1:17" ht="18" thickBot="1" x14ac:dyDescent="0.55000000000000004">
      <c r="A6" s="87" t="s">
        <v>64</v>
      </c>
      <c r="B6" s="87" t="s">
        <v>69</v>
      </c>
      <c r="E6" s="189"/>
    </row>
    <row r="7" spans="1:17" ht="18" thickBot="1" x14ac:dyDescent="0.55000000000000004">
      <c r="A7" s="194" t="s">
        <v>65</v>
      </c>
      <c r="B7" s="196"/>
      <c r="E7" s="189"/>
      <c r="G7" s="199" t="s">
        <v>78</v>
      </c>
      <c r="H7" s="199"/>
      <c r="I7" s="90">
        <v>0</v>
      </c>
      <c r="J7" s="91"/>
    </row>
    <row r="8" spans="1:17" ht="18" thickBot="1" x14ac:dyDescent="0.55000000000000004">
      <c r="A8" s="87" t="s">
        <v>72</v>
      </c>
      <c r="B8" s="90">
        <f>(VLOOKUP(B6,Econ_chart,5,FALSE))*B5</f>
        <v>338.96</v>
      </c>
      <c r="C8" s="92"/>
      <c r="E8" s="181"/>
      <c r="G8" s="199" t="s">
        <v>79</v>
      </c>
      <c r="H8" s="199"/>
      <c r="I8" s="90">
        <f>I7*J13</f>
        <v>0</v>
      </c>
      <c r="Q8" s="179"/>
    </row>
    <row r="9" spans="1:17" ht="18" thickBot="1" x14ac:dyDescent="0.55000000000000004">
      <c r="A9" s="87" t="s">
        <v>73</v>
      </c>
      <c r="B9" s="90">
        <f>Colonias!C7+Ferrocarriles!D1</f>
        <v>77</v>
      </c>
      <c r="C9" s="92"/>
      <c r="H9" s="87" t="s">
        <v>2</v>
      </c>
      <c r="I9" s="90">
        <f>SUM(I7:I8)</f>
        <v>0</v>
      </c>
      <c r="J9" s="93"/>
    </row>
    <row r="10" spans="1:17" ht="18" thickBot="1" x14ac:dyDescent="0.55000000000000004">
      <c r="A10" s="87" t="s">
        <v>74</v>
      </c>
      <c r="B10" s="90">
        <v>12</v>
      </c>
    </row>
    <row r="11" spans="1:17" ht="18" thickBot="1" x14ac:dyDescent="0.55000000000000004">
      <c r="A11" s="87" t="s">
        <v>75</v>
      </c>
      <c r="B11" s="90">
        <f>Militar!O12</f>
        <v>55</v>
      </c>
      <c r="J11" s="94"/>
      <c r="K11" s="200"/>
    </row>
    <row r="12" spans="1:17" ht="19.5" customHeight="1" thickBot="1" x14ac:dyDescent="0.55000000000000004">
      <c r="A12" s="94"/>
      <c r="B12" s="95"/>
      <c r="C12" s="94"/>
      <c r="D12" s="200"/>
      <c r="G12" s="198"/>
      <c r="H12" s="198"/>
      <c r="I12" s="96"/>
      <c r="J12" s="87" t="s">
        <v>81</v>
      </c>
      <c r="K12" s="200"/>
    </row>
    <row r="13" spans="1:17" ht="18" thickBot="1" x14ac:dyDescent="0.55000000000000004">
      <c r="A13" s="94"/>
      <c r="B13" s="95"/>
      <c r="C13" s="94"/>
      <c r="D13" s="200"/>
      <c r="G13" s="199" t="s">
        <v>80</v>
      </c>
      <c r="H13" s="199"/>
      <c r="I13" s="87" t="s">
        <v>8</v>
      </c>
      <c r="J13" s="97">
        <v>0.15</v>
      </c>
      <c r="K13" s="96"/>
    </row>
    <row r="14" spans="1:17" ht="18" thickBot="1" x14ac:dyDescent="0.55000000000000004">
      <c r="A14" s="94"/>
      <c r="B14" s="95"/>
      <c r="C14" s="98"/>
      <c r="D14" s="96"/>
      <c r="H14" s="94"/>
      <c r="I14" s="96"/>
    </row>
    <row r="15" spans="1:17" ht="18" thickBot="1" x14ac:dyDescent="0.55000000000000004">
      <c r="A15" s="87" t="s">
        <v>100</v>
      </c>
      <c r="B15" s="90">
        <f>B8+B9+B10-B11</f>
        <v>372.96</v>
      </c>
    </row>
    <row r="17" spans="1:17" x14ac:dyDescent="0.5">
      <c r="A17" s="85" t="s">
        <v>6</v>
      </c>
      <c r="B17" s="85" t="s">
        <v>6</v>
      </c>
    </row>
    <row r="18" spans="1:17" x14ac:dyDescent="0.5">
      <c r="A18" s="197" t="s">
        <v>230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7" ht="18" thickBot="1" x14ac:dyDescent="0.55000000000000004"/>
    <row r="20" spans="1:17" ht="18.399999999999999" thickTop="1" thickBot="1" x14ac:dyDescent="0.55000000000000004">
      <c r="A20" s="85" t="s">
        <v>6</v>
      </c>
      <c r="B20" s="87" t="s">
        <v>135</v>
      </c>
      <c r="C20" s="87" t="s">
        <v>92</v>
      </c>
      <c r="D20" s="87" t="s">
        <v>99</v>
      </c>
      <c r="E20" s="87" t="s">
        <v>93</v>
      </c>
      <c r="F20" s="87" t="s">
        <v>95</v>
      </c>
      <c r="G20" s="87" t="s">
        <v>96</v>
      </c>
      <c r="I20" s="201" t="s">
        <v>86</v>
      </c>
      <c r="J20" s="201"/>
      <c r="K20" s="201"/>
      <c r="L20" s="201"/>
      <c r="M20" s="201"/>
      <c r="N20" s="201"/>
    </row>
    <row r="21" spans="1:17" ht="18.399999999999999" thickTop="1" thickBot="1" x14ac:dyDescent="0.55000000000000004">
      <c r="A21" s="87" t="s">
        <v>82</v>
      </c>
      <c r="B21" s="87">
        <v>20</v>
      </c>
      <c r="C21" s="87">
        <v>13</v>
      </c>
      <c r="D21" s="87">
        <v>5</v>
      </c>
      <c r="E21" s="87">
        <v>0</v>
      </c>
      <c r="F21" s="87">
        <v>4</v>
      </c>
      <c r="G21" s="87">
        <v>2</v>
      </c>
      <c r="I21" s="99"/>
      <c r="J21" s="99"/>
      <c r="K21" s="201" t="s">
        <v>89</v>
      </c>
      <c r="L21" s="201"/>
      <c r="M21" s="201" t="s">
        <v>90</v>
      </c>
      <c r="N21" s="201"/>
    </row>
    <row r="22" spans="1:17" ht="18.399999999999999" thickTop="1" thickBot="1" x14ac:dyDescent="0.55000000000000004">
      <c r="A22" s="87" t="s">
        <v>83</v>
      </c>
      <c r="B22" s="87">
        <v>0</v>
      </c>
      <c r="C22" s="87">
        <v>0</v>
      </c>
      <c r="D22" s="87">
        <v>1</v>
      </c>
      <c r="E22" s="87">
        <v>3</v>
      </c>
      <c r="F22" s="87">
        <v>0</v>
      </c>
      <c r="G22" s="87">
        <v>0</v>
      </c>
      <c r="I22" s="99"/>
      <c r="J22" s="99" t="s">
        <v>56</v>
      </c>
      <c r="K22" s="99" t="s">
        <v>87</v>
      </c>
      <c r="L22" s="99" t="s">
        <v>88</v>
      </c>
      <c r="M22" s="99" t="s">
        <v>87</v>
      </c>
      <c r="N22" s="99" t="s">
        <v>88</v>
      </c>
    </row>
    <row r="23" spans="1:17" ht="18.399999999999999" thickTop="1" thickBot="1" x14ac:dyDescent="0.55000000000000004">
      <c r="A23" s="87" t="s">
        <v>84</v>
      </c>
      <c r="B23" s="87">
        <f>SUM(B21:B22)</f>
        <v>20</v>
      </c>
      <c r="C23" s="87">
        <f t="shared" ref="C23:G23" si="0">SUM(C21:C22)</f>
        <v>13</v>
      </c>
      <c r="D23" s="87">
        <f t="shared" si="0"/>
        <v>6</v>
      </c>
      <c r="E23" s="87">
        <v>2</v>
      </c>
      <c r="F23" s="87">
        <f t="shared" si="0"/>
        <v>4</v>
      </c>
      <c r="G23" s="87">
        <f t="shared" si="0"/>
        <v>2</v>
      </c>
      <c r="I23" s="99" t="s">
        <v>91</v>
      </c>
      <c r="J23" s="100">
        <v>25</v>
      </c>
      <c r="K23" s="100">
        <f>J23+(J23*0.3)</f>
        <v>32.5</v>
      </c>
      <c r="L23" s="100">
        <f>J23-(J23*0.3)</f>
        <v>17.5</v>
      </c>
      <c r="M23" s="100">
        <f>J23-(J23*0.2)</f>
        <v>20</v>
      </c>
      <c r="N23" s="100">
        <f>J23+(J23*0.2)</f>
        <v>30</v>
      </c>
    </row>
    <row r="24" spans="1:17" ht="18.399999999999999" thickTop="1" thickBot="1" x14ac:dyDescent="0.55000000000000004">
      <c r="A24" s="87" t="s">
        <v>85</v>
      </c>
      <c r="B24" s="101">
        <f>B4/(VLOOKUP(B6,Econ_chart,2,FALSE))</f>
        <v>8.536363636363637</v>
      </c>
      <c r="C24" s="101">
        <f>ROUNDUP(B4/(VLOOKUP(B6,Econ_chart,3,FALSE)),0)</f>
        <v>21</v>
      </c>
      <c r="D24" s="101">
        <v>0</v>
      </c>
      <c r="E24" s="101">
        <f>ROUNDUP(B4/(VLOOKUP(B6,Econ_chart,4,FALSE)),0)</f>
        <v>8</v>
      </c>
      <c r="F24" s="101">
        <v>0</v>
      </c>
      <c r="G24" s="101">
        <v>0</v>
      </c>
      <c r="I24" s="99" t="s">
        <v>92</v>
      </c>
      <c r="J24" s="100">
        <v>10</v>
      </c>
      <c r="K24" s="100">
        <f t="shared" ref="K24:K29" si="1">J24+(J24*0.3)</f>
        <v>13</v>
      </c>
      <c r="L24" s="100">
        <f t="shared" ref="L24:L29" si="2">J24-(J24*0.3)</f>
        <v>7</v>
      </c>
      <c r="M24" s="100">
        <f t="shared" ref="M24:M29" si="3">J24-(J24*0.2)</f>
        <v>8</v>
      </c>
      <c r="N24" s="100">
        <f t="shared" ref="N24:N29" si="4">J24+(J24*0.2)</f>
        <v>12</v>
      </c>
    </row>
    <row r="25" spans="1:17" ht="18.399999999999999" thickTop="1" thickBot="1" x14ac:dyDescent="0.55000000000000004">
      <c r="A25" s="102" t="s">
        <v>5</v>
      </c>
      <c r="B25" s="103">
        <f>-B24</f>
        <v>-8.536363636363637</v>
      </c>
      <c r="C25" s="103">
        <f>C21-C24</f>
        <v>-8</v>
      </c>
      <c r="D25" s="104">
        <f>D23</f>
        <v>6</v>
      </c>
      <c r="E25" s="103">
        <f>E23-E24</f>
        <v>-6</v>
      </c>
      <c r="F25" s="104">
        <f>F23</f>
        <v>4</v>
      </c>
      <c r="G25" s="104">
        <f>G23</f>
        <v>2</v>
      </c>
      <c r="I25" s="99" t="s">
        <v>93</v>
      </c>
      <c r="J25" s="100">
        <v>11</v>
      </c>
      <c r="K25" s="100">
        <f t="shared" si="1"/>
        <v>14.3</v>
      </c>
      <c r="L25" s="100">
        <f t="shared" si="2"/>
        <v>7.7</v>
      </c>
      <c r="M25" s="100">
        <f t="shared" si="3"/>
        <v>8.8000000000000007</v>
      </c>
      <c r="N25" s="100">
        <f t="shared" si="4"/>
        <v>13.2</v>
      </c>
    </row>
    <row r="26" spans="1:17" ht="18.399999999999999" thickTop="1" thickBot="1" x14ac:dyDescent="0.55000000000000004">
      <c r="A26" s="107" t="s">
        <v>292</v>
      </c>
      <c r="B26" s="105"/>
      <c r="C26" s="106"/>
      <c r="D26" s="106"/>
      <c r="E26" s="106"/>
      <c r="F26" s="106"/>
      <c r="G26" s="106"/>
      <c r="I26" s="99" t="s">
        <v>94</v>
      </c>
      <c r="J26" s="100">
        <v>10</v>
      </c>
      <c r="K26" s="100">
        <f t="shared" si="1"/>
        <v>13</v>
      </c>
      <c r="L26" s="100">
        <f t="shared" si="2"/>
        <v>7</v>
      </c>
      <c r="M26" s="100">
        <f t="shared" si="3"/>
        <v>8</v>
      </c>
      <c r="N26" s="100">
        <f t="shared" si="4"/>
        <v>12</v>
      </c>
    </row>
    <row r="27" spans="1:17" ht="18.399999999999999" thickTop="1" thickBot="1" x14ac:dyDescent="0.55000000000000004">
      <c r="A27" s="107" t="s">
        <v>280</v>
      </c>
      <c r="B27" s="107"/>
      <c r="C27" s="94"/>
      <c r="D27" s="94"/>
      <c r="E27" s="94"/>
      <c r="F27" s="94"/>
      <c r="G27" s="94"/>
      <c r="I27" s="99" t="s">
        <v>95</v>
      </c>
      <c r="J27" s="100">
        <v>10</v>
      </c>
      <c r="K27" s="100">
        <f t="shared" si="1"/>
        <v>13</v>
      </c>
      <c r="L27" s="100">
        <f t="shared" si="2"/>
        <v>7</v>
      </c>
      <c r="M27" s="100">
        <f t="shared" si="3"/>
        <v>8</v>
      </c>
      <c r="N27" s="100">
        <f t="shared" si="4"/>
        <v>12</v>
      </c>
    </row>
    <row r="28" spans="1:17" ht="18.399999999999999" thickTop="1" thickBot="1" x14ac:dyDescent="0.55000000000000004">
      <c r="A28" s="94"/>
      <c r="B28" s="106"/>
      <c r="C28" s="190"/>
      <c r="D28" s="106"/>
      <c r="E28" s="106"/>
      <c r="F28" s="106"/>
      <c r="G28" s="106"/>
      <c r="I28" s="99" t="s">
        <v>96</v>
      </c>
      <c r="J28" s="100">
        <v>10</v>
      </c>
      <c r="K28" s="100">
        <f t="shared" si="1"/>
        <v>13</v>
      </c>
      <c r="L28" s="100">
        <f t="shared" si="2"/>
        <v>7</v>
      </c>
      <c r="M28" s="100">
        <f t="shared" si="3"/>
        <v>8</v>
      </c>
      <c r="N28" s="100">
        <f t="shared" si="4"/>
        <v>12</v>
      </c>
    </row>
    <row r="29" spans="1:17" ht="18.399999999999999" thickTop="1" thickBot="1" x14ac:dyDescent="0.55000000000000004">
      <c r="A29" s="94"/>
      <c r="B29" s="106"/>
      <c r="C29" s="106"/>
      <c r="D29" s="106"/>
      <c r="E29" s="106"/>
      <c r="F29" s="106"/>
      <c r="G29" s="106"/>
      <c r="I29" s="99" t="s">
        <v>97</v>
      </c>
      <c r="J29" s="100">
        <v>10</v>
      </c>
      <c r="K29" s="100">
        <f t="shared" si="1"/>
        <v>13</v>
      </c>
      <c r="L29" s="100">
        <f t="shared" si="2"/>
        <v>7</v>
      </c>
      <c r="M29" s="100">
        <f t="shared" si="3"/>
        <v>8</v>
      </c>
      <c r="N29" s="100">
        <f t="shared" si="4"/>
        <v>12</v>
      </c>
      <c r="O29" s="202" t="s">
        <v>98</v>
      </c>
      <c r="P29" s="202"/>
      <c r="Q29" s="202"/>
    </row>
    <row r="30" spans="1:17" ht="18.399999999999999" thickTop="1" thickBot="1" x14ac:dyDescent="0.55000000000000004">
      <c r="L30" s="95"/>
      <c r="M30" s="95"/>
      <c r="N30" s="95"/>
    </row>
    <row r="31" spans="1:17" ht="18" thickBot="1" x14ac:dyDescent="0.55000000000000004">
      <c r="A31" s="87" t="s">
        <v>101</v>
      </c>
      <c r="B31" s="87" t="str">
        <f>Colonias!D6</f>
        <v>Bienes</v>
      </c>
      <c r="C31" s="87" t="str">
        <f>Colonias!E6</f>
        <v>Comida</v>
      </c>
      <c r="D31" s="87" t="str">
        <f>Colonias!F6</f>
        <v>Mat Primas</v>
      </c>
      <c r="E31" s="87" t="str">
        <f>Colonias!G6</f>
        <v>Exóticos</v>
      </c>
      <c r="F31" s="87" t="str">
        <f>Colonias!H6</f>
        <v>Carbón</v>
      </c>
      <c r="G31" s="87" t="str">
        <f>Colonias!I6</f>
        <v>Hierro</v>
      </c>
    </row>
    <row r="32" spans="1:17" ht="18" thickBot="1" x14ac:dyDescent="0.55000000000000004">
      <c r="A32" s="87" t="s">
        <v>102</v>
      </c>
      <c r="B32" s="87">
        <f>SUM(Colonias!D7)</f>
        <v>0</v>
      </c>
      <c r="C32" s="87">
        <f>SUM(Colonias!E7)</f>
        <v>0</v>
      </c>
      <c r="D32" s="87">
        <f>SUM(Colonias!F7)</f>
        <v>2</v>
      </c>
      <c r="E32" s="87">
        <f>SUM(Colonias!G7)</f>
        <v>0</v>
      </c>
      <c r="F32" s="178">
        <f>SUM(Colonias!H7)</f>
        <v>0</v>
      </c>
      <c r="G32" s="87">
        <f>SUM(Colonias!I7)</f>
        <v>0</v>
      </c>
    </row>
    <row r="33" spans="1:16" ht="18" thickBot="1" x14ac:dyDescent="0.55000000000000004">
      <c r="A33" s="87" t="s">
        <v>103</v>
      </c>
      <c r="B33" s="87">
        <f>Colonias!K7</f>
        <v>3</v>
      </c>
      <c r="C33" s="87">
        <f>Colonias!L7</f>
        <v>0</v>
      </c>
      <c r="D33" s="87">
        <f>Colonias!M7</f>
        <v>0</v>
      </c>
      <c r="E33" s="87">
        <f>Colonias!N7</f>
        <v>0</v>
      </c>
      <c r="F33" s="87">
        <f>Colonias!O7</f>
        <v>0</v>
      </c>
      <c r="G33" s="87">
        <f>Colonias!P7</f>
        <v>0</v>
      </c>
      <c r="H33" s="93"/>
    </row>
    <row r="34" spans="1:16" ht="18" thickBot="1" x14ac:dyDescent="0.55000000000000004">
      <c r="A34" s="87" t="s">
        <v>104</v>
      </c>
      <c r="B34" s="108">
        <f>B32-J58</f>
        <v>0</v>
      </c>
      <c r="C34" s="108">
        <f t="shared" ref="C34:G34" si="5">C32-K58</f>
        <v>0</v>
      </c>
      <c r="D34" s="108">
        <f t="shared" si="5"/>
        <v>2</v>
      </c>
      <c r="E34" s="108">
        <f t="shared" si="5"/>
        <v>0</v>
      </c>
      <c r="F34" s="108">
        <f t="shared" si="5"/>
        <v>0</v>
      </c>
      <c r="G34" s="108">
        <f t="shared" si="5"/>
        <v>0</v>
      </c>
      <c r="H34" s="93" t="s">
        <v>220</v>
      </c>
    </row>
    <row r="35" spans="1:16" ht="18" thickBot="1" x14ac:dyDescent="0.55000000000000004">
      <c r="A35" s="87" t="s">
        <v>105</v>
      </c>
      <c r="B35" s="108">
        <f>B33-B58</f>
        <v>3</v>
      </c>
      <c r="C35" s="108">
        <f t="shared" ref="C35:G35" si="6">C33-C58</f>
        <v>0</v>
      </c>
      <c r="D35" s="108">
        <f t="shared" si="6"/>
        <v>0</v>
      </c>
      <c r="E35" s="108">
        <f t="shared" si="6"/>
        <v>0</v>
      </c>
      <c r="F35" s="108">
        <f t="shared" si="6"/>
        <v>0</v>
      </c>
      <c r="G35" s="108">
        <f t="shared" si="6"/>
        <v>0</v>
      </c>
      <c r="H35" s="93" t="s">
        <v>106</v>
      </c>
    </row>
    <row r="36" spans="1:16" x14ac:dyDescent="0.5">
      <c r="I36" s="109"/>
    </row>
    <row r="37" spans="1:16" x14ac:dyDescent="0.5">
      <c r="A37" s="197" t="s">
        <v>229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</row>
    <row r="38" spans="1:16" ht="18" thickBot="1" x14ac:dyDescent="0.55000000000000004"/>
    <row r="39" spans="1:16" ht="18" thickBot="1" x14ac:dyDescent="0.55000000000000004">
      <c r="B39" s="194" t="s">
        <v>109</v>
      </c>
      <c r="C39" s="195"/>
      <c r="D39" s="196"/>
      <c r="J39" s="194" t="s">
        <v>110</v>
      </c>
      <c r="K39" s="195"/>
      <c r="L39" s="195"/>
      <c r="M39" s="196"/>
    </row>
    <row r="40" spans="1:16" x14ac:dyDescent="0.5">
      <c r="A40" s="110" t="s">
        <v>61</v>
      </c>
      <c r="B40" s="111" t="s">
        <v>91</v>
      </c>
      <c r="C40" s="111" t="s">
        <v>92</v>
      </c>
      <c r="D40" s="111" t="s">
        <v>99</v>
      </c>
      <c r="E40" s="110" t="s">
        <v>93</v>
      </c>
      <c r="F40" s="110" t="s">
        <v>95</v>
      </c>
      <c r="G40" s="110" t="s">
        <v>96</v>
      </c>
      <c r="H40" s="110" t="s">
        <v>134</v>
      </c>
      <c r="J40" s="111" t="s">
        <v>91</v>
      </c>
      <c r="K40" s="111" t="s">
        <v>92</v>
      </c>
      <c r="L40" s="111" t="s">
        <v>99</v>
      </c>
      <c r="M40" s="111" t="s">
        <v>93</v>
      </c>
      <c r="N40" s="110" t="s">
        <v>95</v>
      </c>
      <c r="O40" s="110" t="s">
        <v>96</v>
      </c>
      <c r="P40" s="110" t="s">
        <v>134</v>
      </c>
    </row>
    <row r="41" spans="1:16" x14ac:dyDescent="0.5">
      <c r="A41" s="147" t="s">
        <v>286</v>
      </c>
      <c r="B41" s="148">
        <v>3</v>
      </c>
      <c r="C41" s="148">
        <v>1</v>
      </c>
      <c r="D41" s="148"/>
      <c r="E41" s="148"/>
      <c r="F41" s="148"/>
      <c r="G41" s="148"/>
      <c r="H41" s="148">
        <v>60</v>
      </c>
      <c r="J41" s="148"/>
      <c r="K41" s="148"/>
      <c r="L41" s="148"/>
      <c r="M41" s="148">
        <v>5</v>
      </c>
      <c r="N41" s="148"/>
      <c r="O41" s="148"/>
      <c r="P41" s="148">
        <v>82</v>
      </c>
    </row>
    <row r="42" spans="1:16" x14ac:dyDescent="0.5">
      <c r="A42" s="147" t="s">
        <v>287</v>
      </c>
      <c r="B42" s="148"/>
      <c r="C42" s="148"/>
      <c r="D42" s="148"/>
      <c r="E42" s="148"/>
      <c r="F42" s="148"/>
      <c r="G42" s="148"/>
      <c r="H42" s="148">
        <v>30</v>
      </c>
      <c r="J42" s="148"/>
      <c r="K42" s="148"/>
      <c r="L42" s="148"/>
      <c r="M42" s="148"/>
      <c r="N42" s="148"/>
      <c r="O42" s="148">
        <v>3</v>
      </c>
      <c r="P42" s="148">
        <v>0</v>
      </c>
    </row>
    <row r="43" spans="1:16" x14ac:dyDescent="0.5">
      <c r="A43" s="147" t="s">
        <v>279</v>
      </c>
      <c r="B43" s="148"/>
      <c r="C43" s="148"/>
      <c r="D43" s="148"/>
      <c r="E43" s="148"/>
      <c r="F43" s="148"/>
      <c r="G43" s="148"/>
      <c r="H43" s="149">
        <v>11</v>
      </c>
      <c r="J43" s="148"/>
      <c r="K43" s="148"/>
      <c r="L43" s="148"/>
      <c r="M43" s="148">
        <v>1</v>
      </c>
      <c r="N43" s="148"/>
      <c r="O43" s="148"/>
      <c r="P43" s="148">
        <v>0</v>
      </c>
    </row>
    <row r="44" spans="1:16" x14ac:dyDescent="0.5">
      <c r="A44" s="147" t="s">
        <v>288</v>
      </c>
      <c r="B44" s="148"/>
      <c r="C44" s="148"/>
      <c r="D44" s="148"/>
      <c r="E44" s="148"/>
      <c r="F44" s="148"/>
      <c r="G44" s="148"/>
      <c r="H44" s="149">
        <v>31</v>
      </c>
      <c r="J44" s="148"/>
      <c r="K44" s="148"/>
      <c r="L44" s="148">
        <v>2</v>
      </c>
      <c r="M44" s="148">
        <v>1</v>
      </c>
      <c r="N44" s="148"/>
      <c r="O44" s="148"/>
      <c r="P44" s="148">
        <v>0</v>
      </c>
    </row>
    <row r="45" spans="1:16" x14ac:dyDescent="0.5">
      <c r="A45" s="147" t="s">
        <v>289</v>
      </c>
      <c r="B45" s="148"/>
      <c r="C45" s="148"/>
      <c r="D45" s="148"/>
      <c r="E45" s="148"/>
      <c r="F45" s="148"/>
      <c r="G45" s="148"/>
      <c r="H45" s="149">
        <v>10</v>
      </c>
      <c r="J45" s="148"/>
      <c r="K45" s="148"/>
      <c r="L45" s="148">
        <v>1</v>
      </c>
      <c r="M45" s="148"/>
      <c r="N45" s="148"/>
      <c r="O45" s="148"/>
      <c r="P45" s="148">
        <v>0</v>
      </c>
    </row>
    <row r="46" spans="1:16" x14ac:dyDescent="0.5">
      <c r="A46" s="147" t="s">
        <v>290</v>
      </c>
      <c r="B46" s="148"/>
      <c r="C46" s="148"/>
      <c r="D46" s="148"/>
      <c r="E46" s="148"/>
      <c r="F46" s="148"/>
      <c r="G46" s="148"/>
      <c r="H46" s="149">
        <v>20</v>
      </c>
      <c r="J46" s="148"/>
      <c r="K46" s="148"/>
      <c r="L46" s="148">
        <v>2</v>
      </c>
      <c r="M46" s="148"/>
      <c r="N46" s="148"/>
      <c r="O46" s="148"/>
      <c r="P46" s="148"/>
    </row>
    <row r="47" spans="1:16" s="180" customFormat="1" x14ac:dyDescent="0.5">
      <c r="A47" s="147"/>
      <c r="B47" s="148"/>
      <c r="C47" s="148"/>
      <c r="D47" s="148"/>
      <c r="E47" s="148"/>
      <c r="F47" s="148"/>
      <c r="G47" s="148"/>
      <c r="H47" s="149"/>
      <c r="J47" s="148"/>
      <c r="K47" s="148"/>
      <c r="L47" s="148"/>
      <c r="M47" s="148"/>
      <c r="N47" s="148"/>
      <c r="O47" s="148"/>
      <c r="P47" s="148"/>
    </row>
    <row r="48" spans="1:16" s="180" customFormat="1" x14ac:dyDescent="0.5">
      <c r="A48" s="147"/>
      <c r="B48" s="148"/>
      <c r="C48" s="148"/>
      <c r="D48" s="148"/>
      <c r="E48" s="148"/>
      <c r="F48" s="148"/>
      <c r="G48" s="148"/>
      <c r="H48" s="149"/>
      <c r="J48" s="148"/>
      <c r="K48" s="148"/>
      <c r="L48" s="148"/>
      <c r="M48" s="148"/>
      <c r="N48" s="148"/>
      <c r="O48" s="148"/>
      <c r="P48" s="148"/>
    </row>
    <row r="49" spans="1:17" s="180" customFormat="1" x14ac:dyDescent="0.5">
      <c r="A49" s="147"/>
      <c r="B49" s="148"/>
      <c r="C49" s="148"/>
      <c r="D49" s="148"/>
      <c r="E49" s="148"/>
      <c r="F49" s="148"/>
      <c r="G49" s="148"/>
      <c r="H49" s="149"/>
      <c r="J49" s="148"/>
      <c r="K49" s="148"/>
      <c r="L49" s="148"/>
      <c r="M49" s="148"/>
      <c r="N49" s="148"/>
      <c r="O49" s="148"/>
      <c r="P49" s="148"/>
    </row>
    <row r="50" spans="1:17" s="180" customFormat="1" x14ac:dyDescent="0.5">
      <c r="A50" s="147"/>
      <c r="B50" s="148"/>
      <c r="C50" s="148"/>
      <c r="D50" s="148"/>
      <c r="E50" s="148"/>
      <c r="F50" s="148"/>
      <c r="G50" s="148"/>
      <c r="H50" s="149"/>
      <c r="J50" s="148"/>
      <c r="K50" s="148"/>
      <c r="L50" s="148"/>
      <c r="M50" s="148"/>
      <c r="N50" s="148"/>
      <c r="O50" s="148"/>
      <c r="P50" s="148"/>
    </row>
    <row r="51" spans="1:17" s="180" customFormat="1" x14ac:dyDescent="0.5">
      <c r="A51" s="147"/>
      <c r="B51" s="148"/>
      <c r="C51" s="148"/>
      <c r="D51" s="148"/>
      <c r="E51" s="148"/>
      <c r="F51" s="148"/>
      <c r="G51" s="148"/>
      <c r="H51" s="149"/>
      <c r="J51" s="148"/>
      <c r="K51" s="148"/>
      <c r="L51" s="148"/>
      <c r="M51" s="148"/>
      <c r="N51" s="148"/>
      <c r="O51" s="148"/>
      <c r="P51" s="148"/>
    </row>
    <row r="52" spans="1:17" s="180" customFormat="1" x14ac:dyDescent="0.5">
      <c r="A52" s="147"/>
      <c r="B52" s="148"/>
      <c r="C52" s="148"/>
      <c r="D52" s="148"/>
      <c r="E52" s="148"/>
      <c r="F52" s="148"/>
      <c r="G52" s="148"/>
      <c r="H52" s="149"/>
      <c r="J52" s="148"/>
      <c r="K52" s="148"/>
      <c r="L52" s="148"/>
      <c r="M52" s="148"/>
      <c r="N52" s="148"/>
      <c r="O52" s="148"/>
      <c r="P52" s="148"/>
    </row>
    <row r="53" spans="1:17" s="180" customFormat="1" x14ac:dyDescent="0.5">
      <c r="A53" s="147"/>
      <c r="B53" s="148"/>
      <c r="C53" s="148"/>
      <c r="D53" s="148"/>
      <c r="E53" s="148"/>
      <c r="F53" s="148"/>
      <c r="G53" s="148"/>
      <c r="H53" s="149"/>
      <c r="J53" s="148"/>
      <c r="K53" s="148"/>
      <c r="L53" s="148"/>
      <c r="M53" s="148"/>
      <c r="N53" s="148"/>
      <c r="O53" s="148"/>
      <c r="P53" s="148"/>
    </row>
    <row r="54" spans="1:17" x14ac:dyDescent="0.5">
      <c r="A54" s="147"/>
      <c r="B54" s="148"/>
      <c r="C54" s="148"/>
      <c r="D54" s="148"/>
      <c r="E54" s="148"/>
      <c r="F54" s="148"/>
      <c r="G54" s="148"/>
      <c r="H54" s="149"/>
      <c r="J54" s="148"/>
      <c r="K54" s="148"/>
      <c r="L54" s="148"/>
      <c r="M54" s="148"/>
      <c r="N54" s="148"/>
      <c r="O54" s="148"/>
      <c r="P54" s="148"/>
    </row>
    <row r="55" spans="1:17" x14ac:dyDescent="0.5">
      <c r="A55" s="147"/>
      <c r="B55" s="148"/>
      <c r="C55" s="148"/>
      <c r="D55" s="148"/>
      <c r="E55" s="148"/>
      <c r="F55" s="148"/>
      <c r="G55" s="148"/>
      <c r="H55" s="149"/>
      <c r="J55" s="148"/>
      <c r="K55" s="148"/>
      <c r="L55" s="148"/>
      <c r="M55" s="148"/>
      <c r="N55" s="148"/>
      <c r="O55" s="148"/>
      <c r="P55" s="148"/>
    </row>
    <row r="56" spans="1:17" x14ac:dyDescent="0.5">
      <c r="A56" s="147"/>
      <c r="B56" s="148"/>
      <c r="C56" s="148"/>
      <c r="D56" s="148"/>
      <c r="E56" s="148"/>
      <c r="F56" s="148"/>
      <c r="G56" s="148"/>
      <c r="H56" s="148"/>
      <c r="J56" s="148"/>
      <c r="K56" s="148"/>
      <c r="L56" s="148"/>
      <c r="M56" s="148"/>
      <c r="N56" s="148"/>
      <c r="O56" s="148"/>
      <c r="P56" s="148"/>
    </row>
    <row r="57" spans="1:17" ht="18" thickBot="1" x14ac:dyDescent="0.55000000000000004">
      <c r="A57" s="147"/>
      <c r="B57" s="148"/>
      <c r="C57" s="148"/>
      <c r="D57" s="148"/>
      <c r="E57" s="148"/>
      <c r="F57" s="148"/>
      <c r="G57" s="148"/>
      <c r="H57" s="149"/>
      <c r="J57" s="148"/>
      <c r="K57" s="148"/>
      <c r="L57" s="148"/>
      <c r="M57" s="148"/>
      <c r="N57" s="148"/>
      <c r="O57" s="148"/>
      <c r="P57" s="148"/>
    </row>
    <row r="58" spans="1:17" ht="18" thickBot="1" x14ac:dyDescent="0.55000000000000004">
      <c r="A58" s="110" t="s">
        <v>107</v>
      </c>
      <c r="B58" s="148"/>
      <c r="C58" s="148"/>
      <c r="D58" s="148"/>
      <c r="E58" s="148"/>
      <c r="F58" s="148"/>
      <c r="G58" s="148"/>
      <c r="H58" s="108">
        <f>-((J58*M23)+(K58*M24)+(L58*M26)+(M58*M25)+(N58*M27)+(O58*M28))</f>
        <v>0</v>
      </c>
      <c r="J58" s="148"/>
      <c r="K58" s="148"/>
      <c r="L58" s="148"/>
      <c r="M58" s="148"/>
      <c r="N58" s="148"/>
      <c r="O58" s="148"/>
      <c r="P58" s="108">
        <f>(B58*N23)+(C58*N24)+(D58*N26)+(E58*N25)+(F58*N27)+(G58*N28)</f>
        <v>0</v>
      </c>
    </row>
    <row r="59" spans="1:17" ht="18" thickBot="1" x14ac:dyDescent="0.55000000000000004">
      <c r="A59" s="112" t="s">
        <v>89</v>
      </c>
      <c r="B59" s="148"/>
      <c r="C59" s="148"/>
      <c r="D59" s="148"/>
      <c r="E59" s="148"/>
      <c r="F59" s="148"/>
      <c r="G59" s="148"/>
      <c r="H59" s="108">
        <f>-((J59*K23)+(K59*K24)+(L59*K26)+(M59*K25)+(N59*K27)+(O59*K28))</f>
        <v>0</v>
      </c>
      <c r="J59" s="148"/>
      <c r="K59" s="148"/>
      <c r="L59" s="148"/>
      <c r="M59" s="148"/>
      <c r="N59" s="148"/>
      <c r="O59" s="148"/>
      <c r="P59" s="108">
        <f>-((B59*L23)+(C59*L24)+(D59*L26)+(E59*L25)+(F59*L27)+(G59*L28))</f>
        <v>0</v>
      </c>
    </row>
    <row r="60" spans="1:17" ht="18" thickBot="1" x14ac:dyDescent="0.55000000000000004">
      <c r="A60" s="87" t="s">
        <v>2</v>
      </c>
      <c r="B60" s="108">
        <f t="shared" ref="B60:G60" si="7">SUM(B41:B59)</f>
        <v>3</v>
      </c>
      <c r="C60" s="108">
        <f t="shared" si="7"/>
        <v>1</v>
      </c>
      <c r="D60" s="108">
        <f t="shared" si="7"/>
        <v>0</v>
      </c>
      <c r="E60" s="108">
        <f t="shared" si="7"/>
        <v>0</v>
      </c>
      <c r="F60" s="108">
        <f t="shared" si="7"/>
        <v>0</v>
      </c>
      <c r="G60" s="108">
        <f t="shared" si="7"/>
        <v>0</v>
      </c>
      <c r="H60" s="113">
        <f>SUM(H58:H59)-SUM(H41:H57)</f>
        <v>-162</v>
      </c>
      <c r="I60" s="87" t="s">
        <v>2</v>
      </c>
      <c r="J60" s="108">
        <f t="shared" ref="J60:O60" si="8">SUM(J41:J59)</f>
        <v>0</v>
      </c>
      <c r="K60" s="108">
        <f t="shared" si="8"/>
        <v>0</v>
      </c>
      <c r="L60" s="108">
        <f t="shared" si="8"/>
        <v>5</v>
      </c>
      <c r="M60" s="108">
        <f t="shared" si="8"/>
        <v>7</v>
      </c>
      <c r="N60" s="108">
        <f t="shared" si="8"/>
        <v>0</v>
      </c>
      <c r="O60" s="108">
        <f t="shared" si="8"/>
        <v>3</v>
      </c>
      <c r="P60" s="113">
        <f xml:space="preserve"> SUM(P41:P58)-P59</f>
        <v>82</v>
      </c>
      <c r="Q60" s="114"/>
    </row>
    <row r="61" spans="1:17" ht="18" thickBot="1" x14ac:dyDescent="0.55000000000000004">
      <c r="B61" s="94"/>
      <c r="C61" s="94"/>
      <c r="D61" s="94"/>
      <c r="E61" s="94"/>
      <c r="F61" s="94"/>
      <c r="G61" s="94"/>
      <c r="H61" s="95"/>
      <c r="I61" s="115"/>
      <c r="J61" s="94"/>
      <c r="K61" s="94"/>
      <c r="L61" s="94"/>
      <c r="M61" s="94"/>
      <c r="N61" s="94"/>
      <c r="O61" s="94"/>
      <c r="P61" s="95"/>
    </row>
    <row r="62" spans="1:17" ht="18" thickBot="1" x14ac:dyDescent="0.55000000000000004">
      <c r="B62" s="87">
        <f>Colonias!D50</f>
        <v>0</v>
      </c>
      <c r="C62" s="87">
        <f>Colonias!E50</f>
        <v>0</v>
      </c>
      <c r="D62" s="87">
        <f>Colonias!F50</f>
        <v>0</v>
      </c>
      <c r="E62" s="87">
        <f>Colonias!G50</f>
        <v>0</v>
      </c>
      <c r="F62" s="87">
        <f>Colonias!H50</f>
        <v>0</v>
      </c>
      <c r="G62" s="87">
        <f>Colonias!I50</f>
        <v>0</v>
      </c>
      <c r="H62" s="87" t="s">
        <v>108</v>
      </c>
    </row>
    <row r="63" spans="1:17" ht="18" thickBot="1" x14ac:dyDescent="0.55000000000000004">
      <c r="A63" s="85" t="s">
        <v>111</v>
      </c>
      <c r="B63" s="101">
        <f t="shared" ref="B63:G63" si="9">B25-B60+J60</f>
        <v>-11.536363636363637</v>
      </c>
      <c r="C63" s="101">
        <f t="shared" si="9"/>
        <v>-9</v>
      </c>
      <c r="D63" s="101">
        <f t="shared" si="9"/>
        <v>11</v>
      </c>
      <c r="E63" s="101">
        <f t="shared" si="9"/>
        <v>1</v>
      </c>
      <c r="F63" s="101">
        <f t="shared" si="9"/>
        <v>4</v>
      </c>
      <c r="G63" s="101">
        <f t="shared" si="9"/>
        <v>5</v>
      </c>
      <c r="H63" s="116">
        <f>B15+H60+P60</f>
        <v>292.95999999999998</v>
      </c>
      <c r="J63" s="92"/>
    </row>
    <row r="64" spans="1:17" x14ac:dyDescent="0.5">
      <c r="A64" s="94"/>
      <c r="B64" s="106"/>
      <c r="C64" s="106"/>
      <c r="D64" s="106"/>
      <c r="E64" s="106"/>
      <c r="F64" s="106"/>
      <c r="G64" s="106"/>
      <c r="H64" s="96"/>
      <c r="I64" s="94"/>
    </row>
    <row r="65" spans="1:16" x14ac:dyDescent="0.5">
      <c r="A65" s="85" t="s">
        <v>6</v>
      </c>
    </row>
    <row r="66" spans="1:16" ht="18" thickBot="1" x14ac:dyDescent="0.55000000000000004">
      <c r="A66" s="85" t="s">
        <v>112</v>
      </c>
      <c r="B66" s="85" t="s">
        <v>133</v>
      </c>
      <c r="C66" s="85" t="s">
        <v>92</v>
      </c>
      <c r="D66" s="85" t="s">
        <v>99</v>
      </c>
      <c r="E66" s="85" t="s">
        <v>93</v>
      </c>
      <c r="F66" s="85" t="s">
        <v>95</v>
      </c>
      <c r="G66" s="85" t="s">
        <v>96</v>
      </c>
      <c r="H66" s="85" t="s">
        <v>134</v>
      </c>
      <c r="I66" s="85" t="s">
        <v>135</v>
      </c>
    </row>
    <row r="67" spans="1:16" ht="18" thickBot="1" x14ac:dyDescent="0.55000000000000004">
      <c r="A67" s="85" t="s">
        <v>113</v>
      </c>
      <c r="B67" s="148"/>
      <c r="C67" s="117" t="s">
        <v>6</v>
      </c>
      <c r="D67" s="108">
        <f>B67</f>
        <v>0</v>
      </c>
      <c r="E67" s="117"/>
      <c r="F67" s="117"/>
      <c r="G67" s="117"/>
      <c r="H67" s="117"/>
      <c r="I67" s="87">
        <f>B67</f>
        <v>0</v>
      </c>
    </row>
    <row r="68" spans="1:16" ht="18" thickBot="1" x14ac:dyDescent="0.55000000000000004">
      <c r="A68" s="85" t="s">
        <v>114</v>
      </c>
      <c r="B68" s="148"/>
      <c r="C68" s="117" t="s">
        <v>6</v>
      </c>
      <c r="D68" s="117"/>
      <c r="E68" s="117"/>
      <c r="F68" s="87">
        <f>B68</f>
        <v>0</v>
      </c>
      <c r="G68" s="87">
        <f>B68</f>
        <v>0</v>
      </c>
      <c r="H68" s="117"/>
      <c r="I68" s="87">
        <f>B68*2</f>
        <v>0</v>
      </c>
    </row>
    <row r="69" spans="1:16" ht="18" thickBot="1" x14ac:dyDescent="0.55000000000000004">
      <c r="A69" s="85" t="s">
        <v>115</v>
      </c>
      <c r="B69" s="148"/>
      <c r="C69" s="117"/>
      <c r="D69" s="117"/>
      <c r="E69" s="117"/>
      <c r="F69" s="87">
        <f>B69</f>
        <v>0</v>
      </c>
      <c r="G69" s="87">
        <f>B69</f>
        <v>0</v>
      </c>
      <c r="H69" s="117"/>
      <c r="I69" s="87">
        <f>B69</f>
        <v>0</v>
      </c>
    </row>
    <row r="70" spans="1:16" ht="18" thickBot="1" x14ac:dyDescent="0.55000000000000004">
      <c r="A70" s="85" t="s">
        <v>116</v>
      </c>
      <c r="B70" s="117"/>
      <c r="C70" s="117"/>
      <c r="D70" s="117"/>
      <c r="E70" s="148">
        <v>0</v>
      </c>
      <c r="F70" s="117"/>
      <c r="G70" s="117"/>
      <c r="H70" s="90">
        <f>E70*6</f>
        <v>0</v>
      </c>
      <c r="I70" s="87">
        <f>E70</f>
        <v>0</v>
      </c>
    </row>
    <row r="71" spans="1:16" ht="18" thickBot="1" x14ac:dyDescent="0.55000000000000004">
      <c r="A71" s="85" t="s">
        <v>60</v>
      </c>
      <c r="B71" s="101">
        <f>B63+B67+(B68*2)</f>
        <v>-11.536363636363637</v>
      </c>
      <c r="C71" s="101">
        <f>C63</f>
        <v>-9</v>
      </c>
      <c r="D71" s="101">
        <f>D63-D67</f>
        <v>11</v>
      </c>
      <c r="E71" s="101">
        <f>E70+E63</f>
        <v>1</v>
      </c>
      <c r="F71" s="101">
        <f>F63-F68-F69</f>
        <v>4</v>
      </c>
      <c r="G71" s="101">
        <f>G63-G68-G69</f>
        <v>5</v>
      </c>
      <c r="H71" s="116">
        <f>H63-H70</f>
        <v>292.95999999999998</v>
      </c>
      <c r="I71" s="87">
        <f>B23-I67-I68-I69-I70</f>
        <v>20</v>
      </c>
    </row>
    <row r="73" spans="1:16" x14ac:dyDescent="0.5">
      <c r="A73" s="197" t="s">
        <v>137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</row>
    <row r="75" spans="1:16" ht="18" thickBot="1" x14ac:dyDescent="0.55000000000000004">
      <c r="A75" s="118" t="s">
        <v>235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6" x14ac:dyDescent="0.5">
      <c r="A76" s="214" t="s">
        <v>127</v>
      </c>
      <c r="B76" s="214" t="s">
        <v>117</v>
      </c>
      <c r="C76" s="214" t="s">
        <v>242</v>
      </c>
      <c r="D76" s="214" t="s">
        <v>126</v>
      </c>
      <c r="E76" s="203" t="s">
        <v>119</v>
      </c>
      <c r="F76" s="203" t="s">
        <v>118</v>
      </c>
      <c r="G76" s="207" t="s">
        <v>117</v>
      </c>
      <c r="H76" s="207" t="s">
        <v>121</v>
      </c>
    </row>
    <row r="77" spans="1:16" ht="18" thickBot="1" x14ac:dyDescent="0.55000000000000004">
      <c r="A77" s="215"/>
      <c r="B77" s="215"/>
      <c r="C77" s="215"/>
      <c r="D77" s="215"/>
      <c r="E77" s="204"/>
      <c r="F77" s="204"/>
      <c r="G77" s="208"/>
      <c r="H77" s="208"/>
    </row>
    <row r="78" spans="1:16" ht="18" thickBot="1" x14ac:dyDescent="0.55000000000000004">
      <c r="A78" s="87" t="s">
        <v>135</v>
      </c>
      <c r="B78" s="90">
        <v>60</v>
      </c>
      <c r="C78" s="97">
        <v>0</v>
      </c>
      <c r="D78" s="150" t="s">
        <v>10</v>
      </c>
      <c r="E78" s="97">
        <f>IF(H78="Si",0.4,0.33)</f>
        <v>0.33</v>
      </c>
      <c r="F78" s="97" t="str">
        <f>IF(D78="Si",(IF((C78+E78)&gt;1,1,(C78+E78)))," ")</f>
        <v xml:space="preserve"> </v>
      </c>
      <c r="G78" s="90" t="str">
        <f>IF(D78="Continue",5,(IF(D78="Si",(IF((C78+E78)&gt;1,5,B78))," ")))</f>
        <v xml:space="preserve"> </v>
      </c>
      <c r="H78" s="173" t="s">
        <v>10</v>
      </c>
      <c r="I78" s="120"/>
    </row>
    <row r="79" spans="1:16" ht="18" thickBot="1" x14ac:dyDescent="0.55000000000000004">
      <c r="A79" s="178" t="s">
        <v>135</v>
      </c>
      <c r="B79" s="90">
        <v>60</v>
      </c>
      <c r="C79" s="97">
        <v>0</v>
      </c>
      <c r="D79" s="150" t="s">
        <v>10</v>
      </c>
      <c r="E79" s="97">
        <f t="shared" ref="E79:E91" si="10">IF(H79="Si",0.4,0.33)</f>
        <v>0.33</v>
      </c>
      <c r="F79" s="97" t="str">
        <f t="shared" ref="F79:F91" si="11">IF(D79="Si",(IF((C79+E79)&gt;1,1,(C79+E79)))," ")</f>
        <v xml:space="preserve"> </v>
      </c>
      <c r="G79" s="90" t="str">
        <f t="shared" ref="G79:G91" si="12">IF(D79="Continue",5,(IF(D79="Si",(IF((C79+E79)&gt;1,5,B79))," ")))</f>
        <v xml:space="preserve"> </v>
      </c>
      <c r="H79" s="177" t="s">
        <v>10</v>
      </c>
      <c r="I79" s="120"/>
    </row>
    <row r="80" spans="1:16" s="152" customFormat="1" ht="18" thickBot="1" x14ac:dyDescent="0.55000000000000004">
      <c r="A80" s="178" t="s">
        <v>135</v>
      </c>
      <c r="B80" s="90">
        <v>55</v>
      </c>
      <c r="C80" s="97">
        <v>0.33</v>
      </c>
      <c r="D80" s="150" t="s">
        <v>10</v>
      </c>
      <c r="E80" s="97">
        <f t="shared" si="10"/>
        <v>0.33</v>
      </c>
      <c r="F80" s="97" t="str">
        <f t="shared" si="11"/>
        <v xml:space="preserve"> </v>
      </c>
      <c r="G80" s="90" t="str">
        <f t="shared" si="12"/>
        <v xml:space="preserve"> </v>
      </c>
      <c r="H80" s="177" t="s">
        <v>10</v>
      </c>
      <c r="I80" s="120"/>
    </row>
    <row r="81" spans="1:9" s="152" customFormat="1" ht="18" thickBot="1" x14ac:dyDescent="0.55000000000000004">
      <c r="A81" s="178" t="s">
        <v>135</v>
      </c>
      <c r="B81" s="90">
        <v>55</v>
      </c>
      <c r="C81" s="97">
        <v>0</v>
      </c>
      <c r="D81" s="150" t="s">
        <v>10</v>
      </c>
      <c r="E81" s="97">
        <f t="shared" si="10"/>
        <v>0.33</v>
      </c>
      <c r="F81" s="97" t="str">
        <f t="shared" si="11"/>
        <v xml:space="preserve"> </v>
      </c>
      <c r="G81" s="90" t="str">
        <f t="shared" si="12"/>
        <v xml:space="preserve"> </v>
      </c>
      <c r="H81" s="177" t="s">
        <v>10</v>
      </c>
      <c r="I81" s="120"/>
    </row>
    <row r="82" spans="1:9" s="152" customFormat="1" ht="18" thickBot="1" x14ac:dyDescent="0.55000000000000004">
      <c r="A82" s="151" t="s">
        <v>92</v>
      </c>
      <c r="B82" s="90">
        <v>60</v>
      </c>
      <c r="C82" s="97">
        <v>0</v>
      </c>
      <c r="D82" s="150" t="s">
        <v>10</v>
      </c>
      <c r="E82" s="97">
        <f t="shared" si="10"/>
        <v>0.33</v>
      </c>
      <c r="F82" s="97" t="str">
        <f t="shared" si="11"/>
        <v xml:space="preserve"> </v>
      </c>
      <c r="G82" s="90" t="str">
        <f t="shared" si="12"/>
        <v xml:space="preserve"> </v>
      </c>
      <c r="H82" s="177" t="s">
        <v>10</v>
      </c>
      <c r="I82" s="120"/>
    </row>
    <row r="83" spans="1:9" s="152" customFormat="1" ht="18" thickBot="1" x14ac:dyDescent="0.55000000000000004">
      <c r="A83" s="151" t="s">
        <v>95</v>
      </c>
      <c r="B83" s="90">
        <v>50</v>
      </c>
      <c r="C83" s="97">
        <v>0</v>
      </c>
      <c r="D83" s="150" t="s">
        <v>10</v>
      </c>
      <c r="E83" s="97">
        <f t="shared" si="10"/>
        <v>0.33</v>
      </c>
      <c r="F83" s="97" t="str">
        <f t="shared" si="11"/>
        <v xml:space="preserve"> </v>
      </c>
      <c r="G83" s="90" t="str">
        <f t="shared" si="12"/>
        <v xml:space="preserve"> </v>
      </c>
      <c r="H83" s="177" t="s">
        <v>10</v>
      </c>
      <c r="I83" s="120"/>
    </row>
    <row r="84" spans="1:9" s="152" customFormat="1" ht="18" thickBot="1" x14ac:dyDescent="0.55000000000000004">
      <c r="A84" s="151" t="s">
        <v>95</v>
      </c>
      <c r="B84" s="90">
        <v>50</v>
      </c>
      <c r="C84" s="97">
        <v>0</v>
      </c>
      <c r="D84" s="150" t="s">
        <v>10</v>
      </c>
      <c r="E84" s="97">
        <f t="shared" si="10"/>
        <v>0.33</v>
      </c>
      <c r="F84" s="97" t="str">
        <f t="shared" si="11"/>
        <v xml:space="preserve"> </v>
      </c>
      <c r="G84" s="90" t="str">
        <f t="shared" si="12"/>
        <v xml:space="preserve"> </v>
      </c>
      <c r="H84" s="177" t="s">
        <v>10</v>
      </c>
      <c r="I84" s="120"/>
    </row>
    <row r="85" spans="1:9" s="152" customFormat="1" ht="18" thickBot="1" x14ac:dyDescent="0.55000000000000004">
      <c r="A85" s="151" t="s">
        <v>96</v>
      </c>
      <c r="B85" s="90">
        <v>70</v>
      </c>
      <c r="C85" s="97">
        <v>0</v>
      </c>
      <c r="D85" s="150" t="s">
        <v>10</v>
      </c>
      <c r="E85" s="97">
        <f t="shared" si="10"/>
        <v>0.33</v>
      </c>
      <c r="F85" s="97" t="str">
        <f t="shared" si="11"/>
        <v xml:space="preserve"> </v>
      </c>
      <c r="G85" s="90" t="str">
        <f t="shared" si="12"/>
        <v xml:space="preserve"> </v>
      </c>
      <c r="H85" s="177" t="s">
        <v>10</v>
      </c>
      <c r="I85" s="120"/>
    </row>
    <row r="86" spans="1:9" s="152" customFormat="1" ht="18" thickBot="1" x14ac:dyDescent="0.55000000000000004">
      <c r="A86" s="151" t="s">
        <v>99</v>
      </c>
      <c r="B86" s="90">
        <v>65</v>
      </c>
      <c r="C86" s="97">
        <v>0</v>
      </c>
      <c r="D86" s="150" t="s">
        <v>10</v>
      </c>
      <c r="E86" s="97">
        <f t="shared" si="10"/>
        <v>0.33</v>
      </c>
      <c r="F86" s="97" t="str">
        <f t="shared" si="11"/>
        <v xml:space="preserve"> </v>
      </c>
      <c r="G86" s="90" t="str">
        <f t="shared" si="12"/>
        <v xml:space="preserve"> </v>
      </c>
      <c r="H86" s="177" t="s">
        <v>10</v>
      </c>
      <c r="I86" s="120"/>
    </row>
    <row r="87" spans="1:9" ht="18" thickBot="1" x14ac:dyDescent="0.55000000000000004">
      <c r="A87" s="147"/>
      <c r="B87" s="90" t="str">
        <f>IF(A87="","",VLOOKUP(A87,Colonias!$B$35:$E$40,4,FALSE))</f>
        <v/>
      </c>
      <c r="C87" s="97">
        <f>IF(A87="",0,VLOOKUP(A87,Colonias!$B$35:$F$40,5,FALSE))</f>
        <v>0</v>
      </c>
      <c r="D87" s="150" t="s">
        <v>10</v>
      </c>
      <c r="E87" s="97">
        <f t="shared" si="10"/>
        <v>0.33</v>
      </c>
      <c r="F87" s="97" t="str">
        <f t="shared" si="11"/>
        <v xml:space="preserve"> </v>
      </c>
      <c r="G87" s="90" t="str">
        <f t="shared" si="12"/>
        <v xml:space="preserve"> </v>
      </c>
      <c r="H87" s="87" t="str">
        <f>IF(A87="","No",VLOOKUP(A87,Colonias!$B$35:$G$40,6,FALSE))</f>
        <v>No</v>
      </c>
      <c r="I87" s="88"/>
    </row>
    <row r="88" spans="1:9" ht="18" thickBot="1" x14ac:dyDescent="0.55000000000000004">
      <c r="A88" s="147"/>
      <c r="B88" s="90" t="str">
        <f>IF(A88="","",VLOOKUP(A88,Colonias!$B$35:$E$40,4,FALSE))</f>
        <v/>
      </c>
      <c r="C88" s="97">
        <f>IF(A88="",0,VLOOKUP(A88,Colonias!$B$35:$F$40,5,FALSE))</f>
        <v>0</v>
      </c>
      <c r="D88" s="150" t="s">
        <v>10</v>
      </c>
      <c r="E88" s="97">
        <f t="shared" si="10"/>
        <v>0.33</v>
      </c>
      <c r="F88" s="97" t="str">
        <f t="shared" si="11"/>
        <v xml:space="preserve"> </v>
      </c>
      <c r="G88" s="90" t="str">
        <f t="shared" si="12"/>
        <v xml:space="preserve"> </v>
      </c>
      <c r="H88" s="151" t="str">
        <f>IF(A88="","No",VLOOKUP(A88,Colonias!$B$35:$G$40,6,FALSE))</f>
        <v>No</v>
      </c>
      <c r="I88" s="88"/>
    </row>
    <row r="89" spans="1:9" ht="18" thickBot="1" x14ac:dyDescent="0.55000000000000004">
      <c r="A89" s="147"/>
      <c r="B89" s="90" t="str">
        <f>IF(A89="","",VLOOKUP(A89,Colonias!$B$35:$E$40,4,FALSE))</f>
        <v/>
      </c>
      <c r="C89" s="97">
        <f>IF(A89="",0,VLOOKUP(A89,Colonias!$B$35:$F$40,5,FALSE))</f>
        <v>0</v>
      </c>
      <c r="D89" s="150" t="s">
        <v>10</v>
      </c>
      <c r="E89" s="97">
        <f t="shared" si="10"/>
        <v>0.33</v>
      </c>
      <c r="F89" s="97" t="str">
        <f t="shared" si="11"/>
        <v xml:space="preserve"> </v>
      </c>
      <c r="G89" s="90" t="str">
        <f t="shared" si="12"/>
        <v xml:space="preserve"> </v>
      </c>
      <c r="H89" s="151" t="str">
        <f>IF(A89="","No",VLOOKUP(A89,Colonias!$B$35:$G$40,6,FALSE))</f>
        <v>No</v>
      </c>
      <c r="I89" s="88"/>
    </row>
    <row r="90" spans="1:9" ht="18" thickBot="1" x14ac:dyDescent="0.55000000000000004">
      <c r="A90" s="147"/>
      <c r="B90" s="90" t="str">
        <f>IF(A90="","",VLOOKUP(A90,Colonias!$B$35:$E$40,4,FALSE))</f>
        <v/>
      </c>
      <c r="C90" s="97">
        <f>IF(A90="",0,VLOOKUP(A90,Colonias!$B$35:$F$40,5,FALSE))</f>
        <v>0</v>
      </c>
      <c r="D90" s="150" t="s">
        <v>10</v>
      </c>
      <c r="E90" s="97">
        <f t="shared" si="10"/>
        <v>0.33</v>
      </c>
      <c r="F90" s="97" t="str">
        <f t="shared" si="11"/>
        <v xml:space="preserve"> </v>
      </c>
      <c r="G90" s="90" t="str">
        <f t="shared" si="12"/>
        <v xml:space="preserve"> </v>
      </c>
      <c r="H90" s="151" t="str">
        <f>IF(A90="","No",VLOOKUP(A90,Colonias!$B$35:$G$40,6,FALSE))</f>
        <v>No</v>
      </c>
      <c r="I90" s="88"/>
    </row>
    <row r="91" spans="1:9" ht="18" thickBot="1" x14ac:dyDescent="0.55000000000000004">
      <c r="A91" s="147"/>
      <c r="B91" s="90" t="str">
        <f>IF(A91="","",VLOOKUP(A91,Colonias!$B$35:$E$40,4,FALSE))</f>
        <v/>
      </c>
      <c r="C91" s="97">
        <f>IF(A91="",0,VLOOKUP(A91,Colonias!$B$35:$F$40,5,FALSE))</f>
        <v>0</v>
      </c>
      <c r="D91" s="150" t="s">
        <v>10</v>
      </c>
      <c r="E91" s="97">
        <f t="shared" si="10"/>
        <v>0.33</v>
      </c>
      <c r="F91" s="97" t="str">
        <f t="shared" si="11"/>
        <v xml:space="preserve"> </v>
      </c>
      <c r="G91" s="90" t="str">
        <f t="shared" si="12"/>
        <v xml:space="preserve"> </v>
      </c>
      <c r="H91" s="151" t="str">
        <f>IF(A91="","No",VLOOKUP(A91,Colonias!$B$35:$G$40,6,FALSE))</f>
        <v>No</v>
      </c>
      <c r="I91" s="88"/>
    </row>
    <row r="92" spans="1:9" ht="18" thickBot="1" x14ac:dyDescent="0.55000000000000004">
      <c r="B92" s="92"/>
      <c r="F92" s="121" t="s">
        <v>2</v>
      </c>
      <c r="G92" s="122">
        <f>SUM(G78:G91)</f>
        <v>0</v>
      </c>
    </row>
    <row r="93" spans="1:9" ht="18" thickBot="1" x14ac:dyDescent="0.55000000000000004">
      <c r="A93" s="123" t="s">
        <v>236</v>
      </c>
      <c r="B93" s="92"/>
      <c r="F93" s="94"/>
      <c r="G93" s="95"/>
    </row>
    <row r="94" spans="1:9" ht="18" thickBot="1" x14ac:dyDescent="0.55000000000000004">
      <c r="A94" s="87" t="s">
        <v>122</v>
      </c>
      <c r="B94" s="87" t="s">
        <v>117</v>
      </c>
      <c r="C94" s="87" t="s">
        <v>123</v>
      </c>
      <c r="D94" s="87" t="s">
        <v>126</v>
      </c>
      <c r="E94" s="87" t="s">
        <v>124</v>
      </c>
      <c r="F94" s="87" t="s">
        <v>117</v>
      </c>
      <c r="G94" s="95"/>
    </row>
    <row r="95" spans="1:9" ht="18" thickBot="1" x14ac:dyDescent="0.55000000000000004">
      <c r="A95" s="147"/>
      <c r="B95" s="90" t="str">
        <f>IF(A95="","",VLOOKUP(A95,Ferrocarriles!$G$5:$I$10,2,FALSE))</f>
        <v/>
      </c>
      <c r="C95" s="87" t="str">
        <f>IF(A95="","",VLOOKUP(A95,Ferrocarriles!$G$5:$I$10,3,FALSE))</f>
        <v/>
      </c>
      <c r="D95" s="158" t="s">
        <v>10</v>
      </c>
      <c r="E95" s="87">
        <f>IF(D95="Si",1,0)</f>
        <v>0</v>
      </c>
      <c r="F95" s="90">
        <f>IF(D95="Si",B95,0)</f>
        <v>0</v>
      </c>
      <c r="G95" s="124"/>
      <c r="H95" s="125"/>
    </row>
    <row r="96" spans="1:9" ht="18" thickBot="1" x14ac:dyDescent="0.55000000000000004">
      <c r="A96" s="147"/>
      <c r="B96" s="90" t="str">
        <f>IF(A96="","",VLOOKUP(A96,Ferrocarriles!$G$5:$I$10,2,FALSE))</f>
        <v/>
      </c>
      <c r="C96" s="151" t="str">
        <f>IF(A96="","",VLOOKUP(A96,Ferrocarriles!$G$5:$I$10,3,FALSE))</f>
        <v/>
      </c>
      <c r="D96" s="158" t="s">
        <v>10</v>
      </c>
      <c r="E96" s="87">
        <f t="shared" ref="E96:E98" si="13">IF(D96="Si",1,0)</f>
        <v>0</v>
      </c>
      <c r="F96" s="90">
        <f t="shared" ref="F96:F98" si="14">IF(D96="Si",B96,0)</f>
        <v>0</v>
      </c>
      <c r="G96" s="124"/>
      <c r="H96" s="125"/>
    </row>
    <row r="97" spans="1:8" ht="18" thickBot="1" x14ac:dyDescent="0.55000000000000004">
      <c r="A97" s="147"/>
      <c r="B97" s="90" t="str">
        <f>IF(A97="","",VLOOKUP(A97,Ferrocarriles!$G$5:$I$10,2,FALSE))</f>
        <v/>
      </c>
      <c r="C97" s="151" t="str">
        <f>IF(A97="","",VLOOKUP(A97,Ferrocarriles!$G$5:$I$10,3,FALSE))</f>
        <v/>
      </c>
      <c r="D97" s="158" t="s">
        <v>10</v>
      </c>
      <c r="E97" s="87">
        <f t="shared" si="13"/>
        <v>0</v>
      </c>
      <c r="F97" s="90">
        <f t="shared" si="14"/>
        <v>0</v>
      </c>
      <c r="G97" s="124"/>
      <c r="H97" s="125"/>
    </row>
    <row r="98" spans="1:8" ht="18" thickBot="1" x14ac:dyDescent="0.55000000000000004">
      <c r="A98" s="147"/>
      <c r="B98" s="90" t="str">
        <f>IF(A98="","",VLOOKUP(A98,Ferrocarriles!$G$5:$I$10,2,FALSE))</f>
        <v/>
      </c>
      <c r="C98" s="151" t="str">
        <f>IF(A98="","",VLOOKUP(A98,Ferrocarriles!$G$5:$I$10,3,FALSE))</f>
        <v/>
      </c>
      <c r="D98" s="158" t="s">
        <v>10</v>
      </c>
      <c r="E98" s="87">
        <f t="shared" si="13"/>
        <v>0</v>
      </c>
      <c r="F98" s="90">
        <f t="shared" si="14"/>
        <v>0</v>
      </c>
      <c r="G98" s="124"/>
      <c r="H98" s="125"/>
    </row>
    <row r="99" spans="1:8" ht="18" thickBot="1" x14ac:dyDescent="0.55000000000000004">
      <c r="B99" s="92"/>
      <c r="D99" s="87" t="s">
        <v>41</v>
      </c>
      <c r="E99" s="87">
        <f>SUM(E95:E98)</f>
        <v>0</v>
      </c>
      <c r="F99" s="90">
        <f>SUM(F95:F98)</f>
        <v>0</v>
      </c>
      <c r="G99" s="95"/>
    </row>
    <row r="100" spans="1:8" x14ac:dyDescent="0.5">
      <c r="B100" s="92"/>
      <c r="D100" s="94"/>
      <c r="E100" s="126" t="str">
        <f>IF(E99&gt;B69,"Need to build more HI points to complete this investment(s)"," ")</f>
        <v xml:space="preserve"> </v>
      </c>
      <c r="F100" s="94"/>
      <c r="G100" s="95"/>
    </row>
    <row r="101" spans="1:8" x14ac:dyDescent="0.5">
      <c r="B101" s="92"/>
      <c r="F101" s="94"/>
      <c r="G101" s="95"/>
    </row>
    <row r="102" spans="1:8" ht="18" thickBot="1" x14ac:dyDescent="0.55000000000000004">
      <c r="A102" s="123" t="s">
        <v>237</v>
      </c>
      <c r="B102" s="92"/>
      <c r="F102" s="92"/>
    </row>
    <row r="103" spans="1:8" ht="18" thickBot="1" x14ac:dyDescent="0.55000000000000004">
      <c r="A103" s="87" t="s">
        <v>125</v>
      </c>
      <c r="B103" s="87" t="s">
        <v>117</v>
      </c>
      <c r="F103" s="90" t="s">
        <v>117</v>
      </c>
      <c r="G103" s="87" t="s">
        <v>122</v>
      </c>
    </row>
    <row r="104" spans="1:8" ht="18" thickBot="1" x14ac:dyDescent="0.55000000000000004">
      <c r="A104" s="159"/>
      <c r="B104" s="160"/>
      <c r="C104" s="88"/>
      <c r="D104" s="120"/>
      <c r="F104" s="90">
        <f>B104</f>
        <v>0</v>
      </c>
      <c r="G104" s="158" t="s">
        <v>10</v>
      </c>
    </row>
    <row r="105" spans="1:8" ht="18" thickBot="1" x14ac:dyDescent="0.55000000000000004">
      <c r="A105" s="159"/>
      <c r="B105" s="160"/>
      <c r="C105" s="88"/>
      <c r="D105" s="114"/>
      <c r="F105" s="90">
        <f>B105</f>
        <v>0</v>
      </c>
      <c r="G105" s="158" t="s">
        <v>10</v>
      </c>
    </row>
    <row r="106" spans="1:8" ht="18" thickBot="1" x14ac:dyDescent="0.55000000000000004">
      <c r="A106" s="159"/>
      <c r="B106" s="160"/>
      <c r="C106" s="88"/>
      <c r="D106" s="125"/>
      <c r="F106" s="90">
        <f>B106</f>
        <v>0</v>
      </c>
      <c r="G106" s="158" t="s">
        <v>10</v>
      </c>
    </row>
    <row r="107" spans="1:8" ht="18" thickBot="1" x14ac:dyDescent="0.55000000000000004">
      <c r="A107" s="159"/>
      <c r="B107" s="160"/>
      <c r="C107" s="88"/>
      <c r="F107" s="90">
        <f>B107</f>
        <v>0</v>
      </c>
      <c r="G107" s="158" t="s">
        <v>10</v>
      </c>
    </row>
    <row r="108" spans="1:8" ht="18" thickBot="1" x14ac:dyDescent="0.55000000000000004">
      <c r="B108" s="92"/>
      <c r="E108" s="87" t="s">
        <v>3</v>
      </c>
      <c r="F108" s="116">
        <f>SUM(F104:F107)</f>
        <v>0</v>
      </c>
    </row>
    <row r="109" spans="1:8" x14ac:dyDescent="0.5">
      <c r="B109" s="92"/>
    </row>
    <row r="110" spans="1:8" ht="18" thickBot="1" x14ac:dyDescent="0.55000000000000004">
      <c r="A110" s="127" t="s">
        <v>234</v>
      </c>
      <c r="B110" s="92"/>
    </row>
    <row r="111" spans="1:8" ht="18" thickBot="1" x14ac:dyDescent="0.55000000000000004">
      <c r="C111" s="87" t="s">
        <v>129</v>
      </c>
      <c r="E111" s="87" t="s">
        <v>130</v>
      </c>
      <c r="F111" s="85" t="s">
        <v>6</v>
      </c>
    </row>
    <row r="112" spans="1:8" ht="18" thickBot="1" x14ac:dyDescent="0.55000000000000004">
      <c r="A112" s="87" t="s">
        <v>128</v>
      </c>
      <c r="B112" s="87" t="s">
        <v>117</v>
      </c>
      <c r="C112" s="87" t="s">
        <v>7</v>
      </c>
      <c r="D112" s="87" t="s">
        <v>126</v>
      </c>
      <c r="E112" s="87" t="s">
        <v>7</v>
      </c>
      <c r="F112" s="90" t="s">
        <v>117</v>
      </c>
    </row>
    <row r="113" spans="1:10" ht="18" thickBot="1" x14ac:dyDescent="0.55000000000000004">
      <c r="A113" s="87" t="s">
        <v>272</v>
      </c>
      <c r="B113" s="90">
        <v>40</v>
      </c>
      <c r="C113" s="97">
        <v>0</v>
      </c>
      <c r="D113" s="158" t="s">
        <v>10</v>
      </c>
      <c r="E113" s="97" t="str">
        <f>IF(D113="Si",(C113+0.2),IF(D113="Continue",(C113)," "))</f>
        <v xml:space="preserve"> </v>
      </c>
      <c r="F113" s="90" t="str">
        <f>IF(D113="Si",B113,IF(D113="Continue",5,""))</f>
        <v/>
      </c>
      <c r="G113" s="125"/>
    </row>
    <row r="114" spans="1:10" ht="18" thickBot="1" x14ac:dyDescent="0.55000000000000004">
      <c r="A114" s="87" t="s">
        <v>275</v>
      </c>
      <c r="B114" s="90">
        <v>40</v>
      </c>
      <c r="C114" s="97">
        <v>0</v>
      </c>
      <c r="D114" s="158" t="s">
        <v>10</v>
      </c>
      <c r="E114" s="97" t="str">
        <f t="shared" ref="E114:E121" si="15">IF(D114="Si",(C114+0.2),IF(D114="Continue",(C114)," "))</f>
        <v xml:space="preserve"> </v>
      </c>
      <c r="F114" s="90" t="str">
        <f t="shared" ref="F114:F121" si="16">IF(D114="Si",B114,IF(D114="Continue",5,""))</f>
        <v/>
      </c>
      <c r="G114" s="125"/>
    </row>
    <row r="115" spans="1:10" ht="18" thickBot="1" x14ac:dyDescent="0.55000000000000004">
      <c r="A115" s="87" t="s">
        <v>276</v>
      </c>
      <c r="B115" s="90">
        <v>40</v>
      </c>
      <c r="C115" s="97">
        <v>0</v>
      </c>
      <c r="D115" s="158" t="s">
        <v>10</v>
      </c>
      <c r="E115" s="97" t="str">
        <f t="shared" si="15"/>
        <v xml:space="preserve"> </v>
      </c>
      <c r="F115" s="90" t="str">
        <f t="shared" si="16"/>
        <v/>
      </c>
      <c r="G115" s="88"/>
      <c r="J115" s="179"/>
    </row>
    <row r="116" spans="1:10" ht="18" thickBot="1" x14ac:dyDescent="0.55000000000000004">
      <c r="A116" s="87" t="s">
        <v>152</v>
      </c>
      <c r="B116" s="90">
        <v>30</v>
      </c>
      <c r="C116" s="97">
        <v>0</v>
      </c>
      <c r="D116" s="158" t="s">
        <v>10</v>
      </c>
      <c r="E116" s="97" t="str">
        <f t="shared" si="15"/>
        <v xml:space="preserve"> </v>
      </c>
      <c r="F116" s="90" t="str">
        <f t="shared" si="16"/>
        <v/>
      </c>
      <c r="G116" s="88"/>
    </row>
    <row r="117" spans="1:10" ht="18" thickBot="1" x14ac:dyDescent="0.55000000000000004">
      <c r="A117" s="87" t="s">
        <v>153</v>
      </c>
      <c r="B117" s="90">
        <v>30</v>
      </c>
      <c r="C117" s="97">
        <v>0</v>
      </c>
      <c r="D117" s="158" t="s">
        <v>10</v>
      </c>
      <c r="E117" s="97" t="str">
        <f t="shared" si="15"/>
        <v xml:space="preserve"> </v>
      </c>
      <c r="F117" s="90" t="str">
        <f t="shared" si="16"/>
        <v/>
      </c>
      <c r="G117" s="125"/>
    </row>
    <row r="118" spans="1:10" ht="18" thickBot="1" x14ac:dyDescent="0.55000000000000004">
      <c r="A118" s="87" t="s">
        <v>154</v>
      </c>
      <c r="B118" s="90">
        <v>30</v>
      </c>
      <c r="C118" s="97">
        <v>0</v>
      </c>
      <c r="D118" s="158" t="s">
        <v>10</v>
      </c>
      <c r="E118" s="97" t="str">
        <f t="shared" si="15"/>
        <v xml:space="preserve"> </v>
      </c>
      <c r="F118" s="90" t="str">
        <f t="shared" si="16"/>
        <v/>
      </c>
      <c r="G118" s="125"/>
    </row>
    <row r="119" spans="1:10" ht="18" thickBot="1" x14ac:dyDescent="0.55000000000000004">
      <c r="A119" s="87" t="s">
        <v>155</v>
      </c>
      <c r="B119" s="90">
        <v>30</v>
      </c>
      <c r="C119" s="97">
        <v>0</v>
      </c>
      <c r="D119" s="158" t="s">
        <v>10</v>
      </c>
      <c r="E119" s="97" t="str">
        <f t="shared" si="15"/>
        <v xml:space="preserve"> </v>
      </c>
      <c r="F119" s="90" t="str">
        <f t="shared" si="16"/>
        <v/>
      </c>
      <c r="G119" s="125"/>
    </row>
    <row r="120" spans="1:10" ht="18" thickBot="1" x14ac:dyDescent="0.55000000000000004">
      <c r="A120" s="87" t="s">
        <v>156</v>
      </c>
      <c r="B120" s="90">
        <v>40</v>
      </c>
      <c r="C120" s="97">
        <v>0</v>
      </c>
      <c r="D120" s="158" t="s">
        <v>10</v>
      </c>
      <c r="E120" s="97" t="str">
        <f t="shared" si="15"/>
        <v xml:space="preserve"> </v>
      </c>
      <c r="F120" s="90" t="str">
        <f t="shared" si="16"/>
        <v/>
      </c>
      <c r="G120" s="88" t="str">
        <f t="shared" ref="G120" si="17">IF(D120="Continue","New roll to complete investment at current %"," ")</f>
        <v xml:space="preserve"> </v>
      </c>
    </row>
    <row r="121" spans="1:10" ht="18" thickBot="1" x14ac:dyDescent="0.55000000000000004">
      <c r="A121" s="87" t="s">
        <v>131</v>
      </c>
      <c r="B121" s="90">
        <v>40</v>
      </c>
      <c r="C121" s="97">
        <v>0</v>
      </c>
      <c r="D121" s="117" t="s">
        <v>10</v>
      </c>
      <c r="E121" s="97" t="str">
        <f t="shared" si="15"/>
        <v xml:space="preserve"> </v>
      </c>
      <c r="F121" s="90" t="str">
        <f t="shared" si="16"/>
        <v/>
      </c>
      <c r="G121" s="88"/>
    </row>
    <row r="122" spans="1:10" ht="18" thickBot="1" x14ac:dyDescent="0.55000000000000004">
      <c r="E122" s="128" t="s">
        <v>2</v>
      </c>
      <c r="F122" s="129">
        <f>SUM(F113:F120)</f>
        <v>0</v>
      </c>
      <c r="G122" s="88"/>
    </row>
    <row r="123" spans="1:10" ht="18" thickBot="1" x14ac:dyDescent="0.55000000000000004">
      <c r="D123" s="87"/>
      <c r="E123" s="130" t="s">
        <v>136</v>
      </c>
      <c r="F123" s="116">
        <f>H71-G92-F108-F122-F99</f>
        <v>292.95999999999998</v>
      </c>
    </row>
    <row r="125" spans="1:10" ht="18" thickBot="1" x14ac:dyDescent="0.55000000000000004">
      <c r="A125" s="118" t="s">
        <v>238</v>
      </c>
      <c r="B125" s="119"/>
      <c r="C125" s="119"/>
      <c r="D125" s="119"/>
      <c r="E125" s="119"/>
      <c r="F125" s="119"/>
      <c r="G125" s="119"/>
      <c r="H125" s="119"/>
      <c r="I125" s="119"/>
    </row>
    <row r="126" spans="1:10" ht="18" thickBot="1" x14ac:dyDescent="0.55000000000000004">
      <c r="A126" s="87" t="s">
        <v>132</v>
      </c>
      <c r="B126" s="87">
        <f>B69-E99</f>
        <v>0</v>
      </c>
      <c r="D126" s="87" t="s">
        <v>134</v>
      </c>
      <c r="E126" s="116">
        <f>F123</f>
        <v>292.95999999999998</v>
      </c>
    </row>
    <row r="127" spans="1:10" x14ac:dyDescent="0.5">
      <c r="A127" s="94"/>
      <c r="B127" s="126" t="str">
        <f>IF(B126&lt;0,"Not enough HI ava"," ")</f>
        <v xml:space="preserve"> </v>
      </c>
      <c r="D127" s="94"/>
      <c r="E127" s="96"/>
    </row>
    <row r="128" spans="1:10" ht="18" thickBot="1" x14ac:dyDescent="0.55000000000000004">
      <c r="B128" s="85" t="s">
        <v>124</v>
      </c>
    </row>
    <row r="129" spans="1:13" ht="18" thickBot="1" x14ac:dyDescent="0.55000000000000004">
      <c r="A129" s="87" t="s">
        <v>139</v>
      </c>
      <c r="B129" s="157">
        <v>0</v>
      </c>
    </row>
    <row r="130" spans="1:13" ht="18" thickBot="1" x14ac:dyDescent="0.55000000000000004">
      <c r="A130" s="87" t="s">
        <v>138</v>
      </c>
      <c r="B130" s="157">
        <v>0</v>
      </c>
    </row>
    <row r="131" spans="1:13" ht="18" thickBot="1" x14ac:dyDescent="0.55000000000000004">
      <c r="A131" s="87" t="s">
        <v>2</v>
      </c>
      <c r="B131" s="108">
        <f>B126-B129-B130</f>
        <v>0</v>
      </c>
      <c r="D131" s="85" t="str">
        <f>IF(B131&lt;0,"Total Exceeds ava HI points"," ")</f>
        <v xml:space="preserve"> </v>
      </c>
    </row>
    <row r="134" spans="1:13" ht="18" thickBot="1" x14ac:dyDescent="0.55000000000000004">
      <c r="A134" s="127" t="s">
        <v>139</v>
      </c>
    </row>
    <row r="135" spans="1:13" x14ac:dyDescent="0.5">
      <c r="A135" s="131" t="s">
        <v>140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209" t="s">
        <v>151</v>
      </c>
      <c r="L135" s="205" t="s">
        <v>117</v>
      </c>
    </row>
    <row r="136" spans="1:13" ht="18" thickBot="1" x14ac:dyDescent="0.55000000000000004">
      <c r="A136" s="133" t="s">
        <v>141</v>
      </c>
      <c r="B136" s="134">
        <f>B129*8</f>
        <v>0</v>
      </c>
      <c r="C136" s="134" t="s">
        <v>146</v>
      </c>
      <c r="D136" s="134" t="s">
        <v>148</v>
      </c>
      <c r="E136" s="134" t="s">
        <v>147</v>
      </c>
      <c r="F136" s="134" t="s">
        <v>148</v>
      </c>
      <c r="G136" s="134" t="s">
        <v>149</v>
      </c>
      <c r="H136" s="134" t="s">
        <v>148</v>
      </c>
      <c r="I136" s="134" t="s">
        <v>150</v>
      </c>
      <c r="J136" s="134" t="s">
        <v>148</v>
      </c>
      <c r="K136" s="210"/>
      <c r="L136" s="206"/>
    </row>
    <row r="137" spans="1:13" ht="18" thickBot="1" x14ac:dyDescent="0.55000000000000004">
      <c r="A137" s="87" t="s">
        <v>142</v>
      </c>
      <c r="B137" s="151" t="str">
        <f>IF(B129&gt;0, 8," ")</f>
        <v xml:space="preserve"> </v>
      </c>
      <c r="C137" s="157"/>
      <c r="D137" s="158"/>
      <c r="E137" s="157"/>
      <c r="F137" s="158"/>
      <c r="G137" s="157"/>
      <c r="H137" s="158"/>
      <c r="I137" s="157"/>
      <c r="J137" s="158"/>
      <c r="K137" s="87">
        <f>C137+E137+(G137*2)+(I137*4)</f>
        <v>0</v>
      </c>
      <c r="L137" s="116">
        <f>Data!Q3</f>
        <v>0</v>
      </c>
      <c r="M137" s="93" t="str">
        <f>IF(K137&gt;8,"Need to reduce number of weapons ordered"," ")</f>
        <v xml:space="preserve"> </v>
      </c>
    </row>
    <row r="138" spans="1:13" ht="18" thickBot="1" x14ac:dyDescent="0.55000000000000004">
      <c r="A138" s="87" t="s">
        <v>143</v>
      </c>
      <c r="B138" s="151" t="str">
        <f>IF(B129&gt;1,8," ")</f>
        <v xml:space="preserve"> </v>
      </c>
      <c r="C138" s="157"/>
      <c r="D138" s="158"/>
      <c r="E138" s="157"/>
      <c r="F138" s="158"/>
      <c r="G138" s="157"/>
      <c r="H138" s="158"/>
      <c r="I138" s="157"/>
      <c r="J138" s="158"/>
      <c r="K138" s="87">
        <f>C138+E138+(G138*2)+(I138*4)</f>
        <v>0</v>
      </c>
      <c r="L138" s="116">
        <f>Data!Q4</f>
        <v>0</v>
      </c>
      <c r="M138" s="93" t="str">
        <f t="shared" ref="M138:M140" si="18">IF(K138&gt;8,"Need to reduce number of weapons ordered"," ")</f>
        <v xml:space="preserve"> </v>
      </c>
    </row>
    <row r="139" spans="1:13" ht="18" thickBot="1" x14ac:dyDescent="0.55000000000000004">
      <c r="A139" s="87" t="s">
        <v>144</v>
      </c>
      <c r="B139" s="151" t="str">
        <f>IF(B129&gt;2,8," ")</f>
        <v xml:space="preserve"> </v>
      </c>
      <c r="C139" s="157"/>
      <c r="D139" s="158"/>
      <c r="E139" s="157"/>
      <c r="F139" s="158"/>
      <c r="G139" s="157"/>
      <c r="H139" s="158"/>
      <c r="I139" s="157"/>
      <c r="J139" s="158"/>
      <c r="K139" s="87">
        <f>C139+E139+(G139*2)+(I139*4)</f>
        <v>0</v>
      </c>
      <c r="L139" s="116">
        <f>Data!Q5</f>
        <v>0</v>
      </c>
      <c r="M139" s="93" t="str">
        <f t="shared" si="18"/>
        <v xml:space="preserve"> </v>
      </c>
    </row>
    <row r="140" spans="1:13" ht="18" thickBot="1" x14ac:dyDescent="0.55000000000000004">
      <c r="A140" s="87" t="s">
        <v>145</v>
      </c>
      <c r="B140" s="151" t="str">
        <f>IF(B129&gt;3,8," ")</f>
        <v xml:space="preserve"> </v>
      </c>
      <c r="C140" s="157"/>
      <c r="D140" s="158"/>
      <c r="E140" s="157"/>
      <c r="F140" s="158"/>
      <c r="G140" s="157"/>
      <c r="H140" s="158"/>
      <c r="I140" s="157"/>
      <c r="J140" s="158"/>
      <c r="K140" s="87">
        <f>C140+E140+(G140*2)+(I140*4)</f>
        <v>0</v>
      </c>
      <c r="L140" s="116">
        <f>Data!Q6</f>
        <v>0</v>
      </c>
      <c r="M140" s="93" t="str">
        <f t="shared" si="18"/>
        <v xml:space="preserve"> </v>
      </c>
    </row>
    <row r="141" spans="1:13" ht="18" thickBot="1" x14ac:dyDescent="0.55000000000000004">
      <c r="K141" s="87" t="s">
        <v>2</v>
      </c>
      <c r="L141" s="116">
        <f>SUM(L137:L140)</f>
        <v>0</v>
      </c>
    </row>
    <row r="142" spans="1:13" x14ac:dyDescent="0.5">
      <c r="A142" s="85" t="s">
        <v>6</v>
      </c>
    </row>
    <row r="143" spans="1:13" x14ac:dyDescent="0.5">
      <c r="B143" s="119"/>
      <c r="C143" s="119"/>
      <c r="D143" s="119"/>
      <c r="E143" s="119"/>
      <c r="F143" s="119"/>
      <c r="G143" s="119"/>
      <c r="H143" s="119"/>
      <c r="I143" s="119"/>
    </row>
    <row r="144" spans="1:13" ht="18" thickBot="1" x14ac:dyDescent="0.55000000000000004">
      <c r="A144" s="118" t="s">
        <v>162</v>
      </c>
      <c r="B144" s="135"/>
      <c r="C144" s="135"/>
      <c r="D144" s="135"/>
      <c r="E144" s="135"/>
      <c r="F144" s="94"/>
      <c r="G144" s="94"/>
    </row>
    <row r="145" spans="1:9" ht="18" thickBot="1" x14ac:dyDescent="0.55000000000000004">
      <c r="A145" s="198"/>
      <c r="B145" s="198"/>
      <c r="C145" s="135"/>
      <c r="D145" s="87" t="s">
        <v>157</v>
      </c>
      <c r="E145" s="87" t="s">
        <v>158</v>
      </c>
      <c r="F145" s="87" t="s">
        <v>159</v>
      </c>
      <c r="G145" s="87" t="s">
        <v>160</v>
      </c>
      <c r="H145" s="87" t="s">
        <v>117</v>
      </c>
      <c r="I145" s="87" t="s">
        <v>161</v>
      </c>
    </row>
    <row r="146" spans="1:9" ht="18" thickBot="1" x14ac:dyDescent="0.55000000000000004">
      <c r="A146" s="198"/>
      <c r="B146" s="198"/>
      <c r="C146" s="135"/>
      <c r="D146" s="161">
        <v>0</v>
      </c>
      <c r="E146" s="161">
        <v>0</v>
      </c>
      <c r="F146" s="161">
        <v>0</v>
      </c>
      <c r="G146" s="161">
        <v>0</v>
      </c>
      <c r="H146" s="90">
        <f>(D146*Data!Q17)+(Data!Q18*E146)+(F146*Data!Q17)+(G146*Data!Q17)</f>
        <v>0</v>
      </c>
      <c r="I146" s="87">
        <f>(D146+E146+F146+G146)*200000</f>
        <v>0</v>
      </c>
    </row>
    <row r="149" spans="1:9" x14ac:dyDescent="0.5">
      <c r="A149" s="119"/>
      <c r="B149" s="119"/>
      <c r="C149" s="119"/>
      <c r="D149" s="119"/>
      <c r="E149" s="119"/>
      <c r="F149" s="119"/>
      <c r="G149" s="119"/>
      <c r="H149" s="119"/>
      <c r="I149" s="119"/>
    </row>
    <row r="150" spans="1:9" ht="18" thickBot="1" x14ac:dyDescent="0.55000000000000004">
      <c r="A150" s="123" t="s">
        <v>138</v>
      </c>
    </row>
    <row r="151" spans="1:9" ht="18" thickBot="1" x14ac:dyDescent="0.55000000000000004">
      <c r="A151" s="87" t="s">
        <v>163</v>
      </c>
      <c r="B151" s="87">
        <f>B130*20</f>
        <v>0</v>
      </c>
    </row>
    <row r="152" spans="1:9" ht="18" thickBot="1" x14ac:dyDescent="0.55000000000000004"/>
    <row r="153" spans="1:9" x14ac:dyDescent="0.5">
      <c r="A153" s="131"/>
      <c r="B153" s="132"/>
      <c r="C153" s="132"/>
      <c r="D153" s="132"/>
      <c r="E153" s="132"/>
      <c r="F153" s="209" t="s">
        <v>167</v>
      </c>
      <c r="G153" s="136"/>
    </row>
    <row r="154" spans="1:9" ht="18" thickBot="1" x14ac:dyDescent="0.55000000000000004">
      <c r="A154" s="133" t="s">
        <v>164</v>
      </c>
      <c r="B154" s="134" t="s">
        <v>165</v>
      </c>
      <c r="C154" s="134" t="s">
        <v>123</v>
      </c>
      <c r="D154" s="134" t="s">
        <v>166</v>
      </c>
      <c r="E154" s="134" t="s">
        <v>148</v>
      </c>
      <c r="F154" s="210"/>
      <c r="G154" s="137" t="s">
        <v>117</v>
      </c>
    </row>
    <row r="155" spans="1:9" ht="18" thickBot="1" x14ac:dyDescent="0.55000000000000004">
      <c r="A155" s="158"/>
      <c r="B155" s="87" t="str">
        <f t="shared" ref="B155:B160" si="19">IF(A155&gt;" ",(VLOOKUP(A155,Ship_size,2,FALSE))," ")</f>
        <v xml:space="preserve"> </v>
      </c>
      <c r="C155" s="87" t="str">
        <f t="shared" ref="C155:C160" si="20">IF(A155&gt;" ",(VLOOKUP(A155,Ship_size,3,FALSE))," ")</f>
        <v xml:space="preserve"> </v>
      </c>
      <c r="D155" s="158"/>
      <c r="E155" s="158"/>
      <c r="F155" s="87">
        <f>IF(A155&gt;" ",(B155*D155),0)</f>
        <v>0</v>
      </c>
      <c r="G155" s="116">
        <f>IF(A155&gt;" ",(VLOOKUP(A155,Ship_size,Data!E40,FALSE)*D155),0)</f>
        <v>0</v>
      </c>
      <c r="H155" s="88"/>
    </row>
    <row r="156" spans="1:9" ht="18" thickBot="1" x14ac:dyDescent="0.55000000000000004">
      <c r="A156" s="158"/>
      <c r="B156" s="87" t="str">
        <f t="shared" si="19"/>
        <v xml:space="preserve"> </v>
      </c>
      <c r="C156" s="87" t="str">
        <f t="shared" si="20"/>
        <v xml:space="preserve"> </v>
      </c>
      <c r="D156" s="158"/>
      <c r="E156" s="158"/>
      <c r="F156" s="87">
        <f t="shared" ref="F156:F158" si="21">IF(A156&gt;" ",(B156*D156),0)</f>
        <v>0</v>
      </c>
      <c r="G156" s="116">
        <f>IF(A156&gt;" ",(VLOOKUP(A156,Ship_size,Data!E41,FALSE)*D156),0)</f>
        <v>0</v>
      </c>
      <c r="H156" s="88"/>
    </row>
    <row r="157" spans="1:9" ht="18" thickBot="1" x14ac:dyDescent="0.55000000000000004">
      <c r="A157" s="158"/>
      <c r="B157" s="87" t="str">
        <f t="shared" si="19"/>
        <v xml:space="preserve"> </v>
      </c>
      <c r="C157" s="87" t="str">
        <f t="shared" si="20"/>
        <v xml:space="preserve"> </v>
      </c>
      <c r="D157" s="158"/>
      <c r="E157" s="158"/>
      <c r="F157" s="87">
        <f t="shared" si="21"/>
        <v>0</v>
      </c>
      <c r="G157" s="116">
        <f>IF(A157&gt;" ",(VLOOKUP(A157,Ship_size,Data!E42,FALSE)*D157),0)</f>
        <v>0</v>
      </c>
      <c r="H157" s="88"/>
    </row>
    <row r="158" spans="1:9" ht="18" thickBot="1" x14ac:dyDescent="0.55000000000000004">
      <c r="A158" s="158"/>
      <c r="B158" s="87" t="str">
        <f t="shared" si="19"/>
        <v xml:space="preserve"> </v>
      </c>
      <c r="C158" s="87" t="str">
        <f t="shared" si="20"/>
        <v xml:space="preserve"> </v>
      </c>
      <c r="D158" s="158"/>
      <c r="E158" s="158"/>
      <c r="F158" s="87">
        <f t="shared" si="21"/>
        <v>0</v>
      </c>
      <c r="G158" s="116">
        <f>IF(A158&gt;" ",(VLOOKUP(A158,Ship_size,Data!E43,FALSE)*D158),0)</f>
        <v>0</v>
      </c>
      <c r="H158" s="88"/>
    </row>
    <row r="159" spans="1:9" ht="18" thickBot="1" x14ac:dyDescent="0.55000000000000004">
      <c r="A159" s="158"/>
      <c r="B159" s="87" t="str">
        <f t="shared" si="19"/>
        <v xml:space="preserve"> </v>
      </c>
      <c r="C159" s="87" t="str">
        <f t="shared" si="20"/>
        <v xml:space="preserve"> </v>
      </c>
      <c r="D159" s="158"/>
      <c r="E159" s="158"/>
      <c r="F159" s="87">
        <f t="shared" ref="F159:F160" si="22">IF(A159&gt;" ",(B159*D159),0)</f>
        <v>0</v>
      </c>
      <c r="G159" s="116">
        <f>IF(A159&gt;" ",(VLOOKUP(A159,Ship_size,Data!E44,FALSE)*D159),0)</f>
        <v>0</v>
      </c>
      <c r="H159" s="138"/>
    </row>
    <row r="160" spans="1:9" ht="18" thickBot="1" x14ac:dyDescent="0.55000000000000004">
      <c r="A160" s="158"/>
      <c r="B160" s="87" t="str">
        <f t="shared" si="19"/>
        <v xml:space="preserve"> </v>
      </c>
      <c r="C160" s="87" t="str">
        <f t="shared" si="20"/>
        <v xml:space="preserve"> </v>
      </c>
      <c r="D160" s="158"/>
      <c r="E160" s="158"/>
      <c r="F160" s="87">
        <f t="shared" si="22"/>
        <v>0</v>
      </c>
      <c r="G160" s="116">
        <f>IF(A160&gt;" ",(VLOOKUP(A160,Ship_size,Data!E45,FALSE)*D160),0)</f>
        <v>0</v>
      </c>
    </row>
    <row r="161" spans="1:8" ht="18" thickBot="1" x14ac:dyDescent="0.55000000000000004">
      <c r="C161" s="139" t="s">
        <v>6</v>
      </c>
      <c r="D161" s="140" t="s">
        <v>6</v>
      </c>
      <c r="E161" s="87" t="s">
        <v>2</v>
      </c>
      <c r="F161" s="87">
        <f>SUM(F155:F160)</f>
        <v>0</v>
      </c>
      <c r="G161" s="116">
        <f>SUM(G155:G160)</f>
        <v>0</v>
      </c>
      <c r="H161" s="93" t="str">
        <f>IF(F161&gt;B151,"Ship sizes used exceeds number of ship sizes ava"," ")</f>
        <v xml:space="preserve"> </v>
      </c>
    </row>
    <row r="163" spans="1:8" ht="18" thickBot="1" x14ac:dyDescent="0.55000000000000004">
      <c r="A163" s="85" t="s">
        <v>6</v>
      </c>
    </row>
    <row r="164" spans="1:8" x14ac:dyDescent="0.5">
      <c r="A164" s="131"/>
      <c r="B164" s="132"/>
      <c r="C164" s="132"/>
      <c r="D164" s="132"/>
      <c r="E164" s="132"/>
      <c r="F164" s="209"/>
      <c r="G164" s="136"/>
    </row>
    <row r="165" spans="1:8" ht="18" thickBot="1" x14ac:dyDescent="0.55000000000000004">
      <c r="A165" s="133" t="s">
        <v>174</v>
      </c>
      <c r="B165" s="134" t="s">
        <v>148</v>
      </c>
      <c r="C165" s="134" t="s">
        <v>166</v>
      </c>
      <c r="D165" s="141" t="s">
        <v>175</v>
      </c>
      <c r="E165" s="134"/>
      <c r="F165" s="210"/>
      <c r="G165" s="137"/>
    </row>
    <row r="166" spans="1:8" ht="18" thickBot="1" x14ac:dyDescent="0.55000000000000004">
      <c r="A166" s="87"/>
      <c r="B166" s="87"/>
      <c r="C166" s="87"/>
      <c r="D166" s="87"/>
    </row>
    <row r="167" spans="1:8" ht="18" thickBot="1" x14ac:dyDescent="0.55000000000000004">
      <c r="A167" s="87"/>
      <c r="B167" s="87"/>
      <c r="C167" s="87"/>
      <c r="D167" s="87"/>
    </row>
    <row r="168" spans="1:8" ht="18" thickBot="1" x14ac:dyDescent="0.55000000000000004">
      <c r="A168" s="87"/>
      <c r="B168" s="87"/>
      <c r="C168" s="87"/>
      <c r="D168" s="87"/>
    </row>
    <row r="169" spans="1:8" ht="18" thickBot="1" x14ac:dyDescent="0.55000000000000004">
      <c r="A169" s="87"/>
      <c r="B169" s="87"/>
      <c r="C169" s="87"/>
      <c r="D169" s="87"/>
    </row>
    <row r="170" spans="1:8" ht="18" thickBot="1" x14ac:dyDescent="0.55000000000000004">
      <c r="F170" s="87" t="s">
        <v>2</v>
      </c>
      <c r="G170" s="90">
        <v>0</v>
      </c>
    </row>
    <row r="172" spans="1:8" ht="18" thickBot="1" x14ac:dyDescent="0.55000000000000004">
      <c r="A172" s="142" t="s">
        <v>176</v>
      </c>
      <c r="B172" s="143"/>
      <c r="C172" s="143"/>
      <c r="D172" s="143"/>
      <c r="E172" s="143"/>
      <c r="F172" s="143"/>
      <c r="G172" s="143"/>
    </row>
    <row r="173" spans="1:8" ht="18" thickBot="1" x14ac:dyDescent="0.55000000000000004">
      <c r="A173" s="144" t="s">
        <v>178</v>
      </c>
      <c r="B173" s="144" t="s">
        <v>177</v>
      </c>
      <c r="C173" s="144" t="s">
        <v>117</v>
      </c>
    </row>
    <row r="174" spans="1:8" ht="18" thickBot="1" x14ac:dyDescent="0.55000000000000004">
      <c r="A174" s="162"/>
      <c r="B174" s="162"/>
      <c r="C174" s="116" t="str">
        <f>IF(B174&gt;0,(VLOOKUP(B174,MilitaryB_cost,2,FALSE))," ")</f>
        <v xml:space="preserve"> </v>
      </c>
    </row>
    <row r="175" spans="1:8" ht="18" thickBot="1" x14ac:dyDescent="0.55000000000000004">
      <c r="A175" s="162"/>
      <c r="B175" s="162"/>
      <c r="C175" s="116" t="str">
        <f>IF(B175&gt;0,(VLOOKUP(B175,MilitaryB_cost,2,FALSE))," ")</f>
        <v xml:space="preserve"> </v>
      </c>
    </row>
    <row r="176" spans="1:8" ht="18" thickBot="1" x14ac:dyDescent="0.55000000000000004">
      <c r="A176" s="162"/>
      <c r="B176" s="162"/>
      <c r="C176" s="116" t="str">
        <f>IF(B176&gt;0,(VLOOKUP(B176,MilitaryB_cost,2,FALSE))," ")</f>
        <v xml:space="preserve"> </v>
      </c>
    </row>
    <row r="177" spans="1:14" ht="18" thickBot="1" x14ac:dyDescent="0.55000000000000004">
      <c r="A177" s="162"/>
      <c r="B177" s="162"/>
      <c r="C177" s="116" t="str">
        <f>IF(B177&gt;0,(VLOOKUP(B177,MilitaryB_cost,2,FALSE))," ")</f>
        <v xml:space="preserve"> </v>
      </c>
    </row>
    <row r="178" spans="1:14" ht="18" thickBot="1" x14ac:dyDescent="0.55000000000000004">
      <c r="B178" s="87" t="s">
        <v>41</v>
      </c>
      <c r="C178" s="116">
        <f>SUM(C174:C177)</f>
        <v>0</v>
      </c>
    </row>
    <row r="181" spans="1:14" x14ac:dyDescent="0.5">
      <c r="B181" s="119"/>
      <c r="C181" s="119"/>
      <c r="D181" s="119"/>
      <c r="E181" s="119"/>
      <c r="F181" s="119"/>
      <c r="G181" s="119"/>
      <c r="H181" s="119"/>
      <c r="I181" s="119"/>
    </row>
    <row r="182" spans="1:14" ht="18" thickBot="1" x14ac:dyDescent="0.55000000000000004">
      <c r="A182" s="118" t="s">
        <v>179</v>
      </c>
    </row>
    <row r="183" spans="1:14" ht="18" thickBot="1" x14ac:dyDescent="0.55000000000000004">
      <c r="A183" s="194" t="s">
        <v>180</v>
      </c>
      <c r="B183" s="195"/>
      <c r="C183" s="195"/>
      <c r="D183" s="195"/>
      <c r="E183" s="195"/>
      <c r="F183" s="196"/>
      <c r="G183" s="145" t="s">
        <v>181</v>
      </c>
      <c r="N183" s="146"/>
    </row>
    <row r="184" spans="1:14" ht="19.5" customHeight="1" thickBot="1" x14ac:dyDescent="0.55000000000000004">
      <c r="A184" s="211"/>
      <c r="B184" s="212"/>
      <c r="C184" s="212"/>
      <c r="D184" s="212"/>
      <c r="E184" s="212"/>
      <c r="F184" s="213"/>
      <c r="G184" s="160"/>
    </row>
    <row r="185" spans="1:14" ht="18" thickBot="1" x14ac:dyDescent="0.55000000000000004">
      <c r="A185" s="211"/>
      <c r="B185" s="212"/>
      <c r="C185" s="212"/>
      <c r="D185" s="212"/>
      <c r="E185" s="212"/>
      <c r="F185" s="213"/>
      <c r="G185" s="160"/>
    </row>
    <row r="186" spans="1:14" ht="19.5" customHeight="1" thickBot="1" x14ac:dyDescent="0.55000000000000004">
      <c r="A186" s="211"/>
      <c r="B186" s="212"/>
      <c r="C186" s="212"/>
      <c r="D186" s="212"/>
      <c r="E186" s="212"/>
      <c r="F186" s="213"/>
      <c r="G186" s="160"/>
    </row>
    <row r="187" spans="1:14" ht="19.5" customHeight="1" thickBot="1" x14ac:dyDescent="0.55000000000000004">
      <c r="A187" s="211"/>
      <c r="B187" s="212"/>
      <c r="C187" s="212"/>
      <c r="D187" s="212"/>
      <c r="E187" s="212"/>
      <c r="F187" s="213"/>
      <c r="G187" s="160"/>
    </row>
    <row r="188" spans="1:14" ht="19.5" customHeight="1" thickBot="1" x14ac:dyDescent="0.55000000000000004">
      <c r="A188" s="211"/>
      <c r="B188" s="212"/>
      <c r="C188" s="212"/>
      <c r="D188" s="212"/>
      <c r="E188" s="212"/>
      <c r="F188" s="213"/>
      <c r="G188" s="160"/>
    </row>
    <row r="189" spans="1:14" ht="19.5" customHeight="1" thickBot="1" x14ac:dyDescent="0.55000000000000004">
      <c r="A189" s="211"/>
      <c r="B189" s="212"/>
      <c r="C189" s="212"/>
      <c r="D189" s="212"/>
      <c r="E189" s="212"/>
      <c r="F189" s="213"/>
      <c r="G189" s="160"/>
    </row>
    <row r="190" spans="1:14" ht="19.5" customHeight="1" thickBot="1" x14ac:dyDescent="0.55000000000000004">
      <c r="A190" s="211"/>
      <c r="B190" s="212"/>
      <c r="C190" s="212"/>
      <c r="D190" s="212"/>
      <c r="E190" s="212"/>
      <c r="F190" s="213"/>
      <c r="G190" s="160"/>
    </row>
    <row r="191" spans="1:14" ht="19.5" customHeight="1" thickBot="1" x14ac:dyDescent="0.55000000000000004">
      <c r="A191" s="211"/>
      <c r="B191" s="212"/>
      <c r="C191" s="212"/>
      <c r="D191" s="212"/>
      <c r="E191" s="212"/>
      <c r="F191" s="213"/>
      <c r="G191" s="160"/>
    </row>
    <row r="192" spans="1:14" ht="19.5" customHeight="1" thickBot="1" x14ac:dyDescent="0.55000000000000004">
      <c r="A192" s="211"/>
      <c r="B192" s="212"/>
      <c r="C192" s="212"/>
      <c r="D192" s="212"/>
      <c r="E192" s="212"/>
      <c r="F192" s="213"/>
      <c r="G192" s="160"/>
    </row>
    <row r="193" spans="1:7" ht="19.5" customHeight="1" thickBot="1" x14ac:dyDescent="0.55000000000000004">
      <c r="A193" s="211"/>
      <c r="B193" s="212"/>
      <c r="C193" s="212"/>
      <c r="D193" s="212"/>
      <c r="E193" s="212"/>
      <c r="F193" s="213"/>
      <c r="G193" s="160"/>
    </row>
    <row r="194" spans="1:7" ht="18" thickBot="1" x14ac:dyDescent="0.55000000000000004">
      <c r="A194" s="211"/>
      <c r="B194" s="212"/>
      <c r="C194" s="212"/>
      <c r="D194" s="212"/>
      <c r="E194" s="212"/>
      <c r="F194" s="213"/>
      <c r="G194" s="160"/>
    </row>
    <row r="195" spans="1:7" ht="18" thickBot="1" x14ac:dyDescent="0.55000000000000004">
      <c r="A195" s="219"/>
      <c r="B195" s="220"/>
      <c r="C195" s="220"/>
      <c r="D195" s="220"/>
      <c r="E195" s="220"/>
      <c r="F195" s="221"/>
      <c r="G195" s="160"/>
    </row>
    <row r="196" spans="1:7" ht="18" thickBot="1" x14ac:dyDescent="0.55000000000000004">
      <c r="A196" s="211"/>
      <c r="B196" s="212"/>
      <c r="C196" s="212"/>
      <c r="D196" s="212"/>
      <c r="E196" s="212"/>
      <c r="F196" s="213"/>
      <c r="G196" s="163"/>
    </row>
    <row r="197" spans="1:7" ht="18" thickBot="1" x14ac:dyDescent="0.55000000000000004">
      <c r="A197" s="211"/>
      <c r="B197" s="212"/>
      <c r="C197" s="212"/>
      <c r="D197" s="212"/>
      <c r="E197" s="212"/>
      <c r="F197" s="213"/>
      <c r="G197" s="163"/>
    </row>
    <row r="198" spans="1:7" ht="18" thickBot="1" x14ac:dyDescent="0.55000000000000004">
      <c r="A198" s="216"/>
      <c r="B198" s="217"/>
      <c r="C198" s="217"/>
      <c r="D198" s="217"/>
      <c r="E198" s="217"/>
      <c r="F198" s="218"/>
      <c r="G198" s="163"/>
    </row>
    <row r="199" spans="1:7" ht="18" thickBot="1" x14ac:dyDescent="0.55000000000000004">
      <c r="A199" s="211"/>
      <c r="B199" s="212"/>
      <c r="C199" s="212"/>
      <c r="D199" s="212"/>
      <c r="E199" s="212"/>
      <c r="F199" s="213"/>
      <c r="G199" s="160"/>
    </row>
    <row r="200" spans="1:7" ht="18" thickBot="1" x14ac:dyDescent="0.55000000000000004">
      <c r="A200" s="211"/>
      <c r="B200" s="212"/>
      <c r="C200" s="212"/>
      <c r="D200" s="212"/>
      <c r="E200" s="212"/>
      <c r="F200" s="213"/>
      <c r="G200" s="160"/>
    </row>
    <row r="201" spans="1:7" ht="18" thickBot="1" x14ac:dyDescent="0.55000000000000004">
      <c r="A201" s="216"/>
      <c r="B201" s="217"/>
      <c r="C201" s="217"/>
      <c r="D201" s="217"/>
      <c r="E201" s="217"/>
      <c r="F201" s="218"/>
      <c r="G201" s="160"/>
    </row>
    <row r="202" spans="1:7" ht="18" thickBot="1" x14ac:dyDescent="0.55000000000000004">
      <c r="A202" s="211"/>
      <c r="B202" s="217"/>
      <c r="C202" s="217"/>
      <c r="D202" s="217"/>
      <c r="E202" s="217"/>
      <c r="F202" s="218"/>
      <c r="G202" s="160"/>
    </row>
    <row r="203" spans="1:7" ht="41.25" customHeight="1" thickBot="1" x14ac:dyDescent="0.55000000000000004"/>
    <row r="204" spans="1:7" ht="18" thickBot="1" x14ac:dyDescent="0.55000000000000004">
      <c r="F204" s="87" t="s">
        <v>2</v>
      </c>
      <c r="G204" s="116">
        <f>SUM(G184:G202)</f>
        <v>0</v>
      </c>
    </row>
    <row r="205" spans="1:7" ht="18" thickBot="1" x14ac:dyDescent="0.55000000000000004"/>
    <row r="206" spans="1:7" ht="18" thickBot="1" x14ac:dyDescent="0.55000000000000004">
      <c r="E206" s="194" t="s">
        <v>108</v>
      </c>
      <c r="F206" s="196"/>
      <c r="G206" s="116">
        <f>E126-L141-H146-G161-G170-C178-G204</f>
        <v>292.95999999999998</v>
      </c>
    </row>
  </sheetData>
  <sheetProtection algorithmName="SHA-512" hashValue="B8d7LwQCQBK+pqTTrex40qCnM+a5FY8H+cLZEiYM6SsqqUWSQiMwG/fMs/I1x/WlAjdJHpHVzKi3TmIFhUP0FA==" saltValue="VZ6EA1tBywqAax/hME4Odg==" spinCount="100000" sheet="1" objects="1" scenarios="1"/>
  <dataConsolidate/>
  <mergeCells count="51">
    <mergeCell ref="A1:P1"/>
    <mergeCell ref="A73:P73"/>
    <mergeCell ref="A196:F196"/>
    <mergeCell ref="A199:F199"/>
    <mergeCell ref="A195:F195"/>
    <mergeCell ref="A183:F183"/>
    <mergeCell ref="A184:F184"/>
    <mergeCell ref="A187:F187"/>
    <mergeCell ref="A190:F190"/>
    <mergeCell ref="A192:F192"/>
    <mergeCell ref="A191:F191"/>
    <mergeCell ref="A186:F186"/>
    <mergeCell ref="A188:F188"/>
    <mergeCell ref="A189:F189"/>
    <mergeCell ref="G76:G77"/>
    <mergeCell ref="F76:F77"/>
    <mergeCell ref="A200:F200"/>
    <mergeCell ref="A201:F201"/>
    <mergeCell ref="A197:F197"/>
    <mergeCell ref="A198:F198"/>
    <mergeCell ref="E206:F206"/>
    <mergeCell ref="A202:F202"/>
    <mergeCell ref="E76:E77"/>
    <mergeCell ref="L135:L136"/>
    <mergeCell ref="H76:H77"/>
    <mergeCell ref="K135:K136"/>
    <mergeCell ref="A194:F194"/>
    <mergeCell ref="A185:F185"/>
    <mergeCell ref="F153:F154"/>
    <mergeCell ref="F164:F165"/>
    <mergeCell ref="A193:F193"/>
    <mergeCell ref="A145:B146"/>
    <mergeCell ref="A76:A77"/>
    <mergeCell ref="D76:D77"/>
    <mergeCell ref="C76:C77"/>
    <mergeCell ref="B76:B77"/>
    <mergeCell ref="J39:M39"/>
    <mergeCell ref="B39:D39"/>
    <mergeCell ref="A18:P18"/>
    <mergeCell ref="A7:B7"/>
    <mergeCell ref="A37:P37"/>
    <mergeCell ref="G12:H12"/>
    <mergeCell ref="G13:H13"/>
    <mergeCell ref="K11:K12"/>
    <mergeCell ref="I20:N20"/>
    <mergeCell ref="K21:L21"/>
    <mergeCell ref="M21:N21"/>
    <mergeCell ref="G7:H7"/>
    <mergeCell ref="G8:H8"/>
    <mergeCell ref="D12:D13"/>
    <mergeCell ref="O29:Q29"/>
  </mergeCells>
  <phoneticPr fontId="14" type="noConversion"/>
  <dataValidations count="7">
    <dataValidation type="list" showInputMessage="1" showErrorMessage="1" sqref="D95:D98 G104:G107" xr:uid="{00000000-0002-0000-0000-000000000000}">
      <formula1>Yes_No</formula1>
    </dataValidation>
    <dataValidation type="list" showInputMessage="1" showErrorMessage="1" sqref="D137:D140 F137:F140 H137:H140 J137:J140 B166:B169 E155:E160" xr:uid="{00000000-0002-0000-0000-000001000000}">
      <formula1>Weapon_Quality</formula1>
    </dataValidation>
    <dataValidation type="list" showInputMessage="1" showErrorMessage="1" sqref="A166:A169 A155:A160" xr:uid="{00000000-0002-0000-0000-000002000000}">
      <formula1>Ship_types</formula1>
    </dataValidation>
    <dataValidation type="list" allowBlank="1" showInputMessage="1" showErrorMessage="1" sqref="B6" xr:uid="{00000000-0002-0000-0000-000004000000}">
      <formula1>Econ_level</formula1>
    </dataValidation>
    <dataValidation type="list" showInputMessage="1" showErrorMessage="1" sqref="D113:D121 D78:D91" xr:uid="{00000000-0002-0000-0000-000005000000}">
      <formula1>Invest_option</formula1>
    </dataValidation>
    <dataValidation type="list" showInputMessage="1" showErrorMessage="1" sqref="B174:B177" xr:uid="{00000000-0002-0000-0000-000003000000}">
      <formula1>Mil_Buildings</formula1>
    </dataValidation>
    <dataValidation showInputMessage="1" showErrorMessage="1" sqref="H78:H91" xr:uid="{34E55BD4-9165-4095-923E-D45A826A78B9}"/>
  </dataValidations>
  <pageMargins left="0.7" right="0.7" top="0.75" bottom="0.75" header="0.3" footer="0.3"/>
  <pageSetup orientation="portrait" r:id="rId1"/>
  <ignoredErrors>
    <ignoredError sqref="E25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08ECA7-21BA-44BA-9BFC-194FD0CB5C9B}">
          <x14:formula1>
            <xm:f>Ferrocarriles!$G$5:$G$10</xm:f>
          </x14:formula1>
          <xm:sqref>A95:A98</xm:sqref>
        </x14:dataValidation>
        <x14:dataValidation type="list" allowBlank="1" showInputMessage="1" showErrorMessage="1" xr:uid="{F76FC5A7-133C-40FB-8751-06DEED306061}">
          <x14:formula1>
            <xm:f>Colonias!$B$35:$B$40</xm:f>
          </x14:formula1>
          <xm:sqref>A87:A91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02"/>
  <sheetViews>
    <sheetView showGridLines="0" workbookViewId="0"/>
  </sheetViews>
  <sheetFormatPr defaultColWidth="9.1328125" defaultRowHeight="15.4" x14ac:dyDescent="0.45"/>
  <cols>
    <col min="1" max="1" width="16.53125" style="20" customWidth="1"/>
    <col min="2" max="2" width="11.86328125" style="20" customWidth="1"/>
    <col min="3" max="3" width="9.86328125" style="20" customWidth="1"/>
    <col min="4" max="5" width="9.1328125" style="20"/>
    <col min="6" max="6" width="10.6640625" style="20" customWidth="1"/>
    <col min="7" max="7" width="12.3984375" style="20" customWidth="1"/>
    <col min="8" max="8" width="10.53125" style="20" customWidth="1"/>
    <col min="9" max="10" width="9.1328125" style="20"/>
    <col min="11" max="11" width="11.6640625" style="20" customWidth="1"/>
    <col min="12" max="12" width="10.6640625" style="20" customWidth="1"/>
    <col min="13" max="13" width="13" style="20" customWidth="1"/>
    <col min="14" max="14" width="10.53125" style="20" customWidth="1"/>
    <col min="15" max="15" width="9.1328125" style="20"/>
    <col min="16" max="16" width="10" style="20" customWidth="1"/>
    <col min="17" max="16384" width="9.1328125" style="20"/>
  </cols>
  <sheetData>
    <row r="2" spans="1:20" x14ac:dyDescent="0.45">
      <c r="A2" s="255" t="s">
        <v>187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5" spans="1:20" ht="15.75" thickBot="1" x14ac:dyDescent="0.5">
      <c r="A5" s="84" t="s">
        <v>188</v>
      </c>
    </row>
    <row r="6" spans="1:20" ht="15.75" thickBot="1" x14ac:dyDescent="0.5">
      <c r="A6" s="50"/>
      <c r="B6" s="224" t="s">
        <v>157</v>
      </c>
      <c r="C6" s="224" t="s">
        <v>148</v>
      </c>
      <c r="D6" s="224" t="s">
        <v>186</v>
      </c>
      <c r="E6" s="224" t="s">
        <v>148</v>
      </c>
      <c r="F6" s="224" t="s">
        <v>147</v>
      </c>
      <c r="G6" s="224" t="s">
        <v>148</v>
      </c>
      <c r="H6" s="224" t="s">
        <v>149</v>
      </c>
      <c r="I6" s="224" t="s">
        <v>148</v>
      </c>
      <c r="J6" s="224" t="s">
        <v>150</v>
      </c>
      <c r="K6" s="248" t="s">
        <v>148</v>
      </c>
      <c r="N6" s="222" t="s">
        <v>189</v>
      </c>
      <c r="O6" s="222"/>
      <c r="P6" s="222"/>
    </row>
    <row r="7" spans="1:20" ht="15.75" thickBot="1" x14ac:dyDescent="0.5">
      <c r="A7" s="51" t="s">
        <v>178</v>
      </c>
      <c r="B7" s="225"/>
      <c r="C7" s="225"/>
      <c r="D7" s="225"/>
      <c r="E7" s="225"/>
      <c r="F7" s="225"/>
      <c r="G7" s="225"/>
      <c r="H7" s="225"/>
      <c r="I7" s="225"/>
      <c r="J7" s="225"/>
      <c r="K7" s="249"/>
      <c r="N7" s="7"/>
      <c r="O7" s="49" t="s">
        <v>117</v>
      </c>
      <c r="P7" s="49" t="s">
        <v>191</v>
      </c>
    </row>
    <row r="8" spans="1:20" ht="15.75" thickBot="1" x14ac:dyDescent="0.5">
      <c r="A8" s="49" t="s">
        <v>246</v>
      </c>
      <c r="B8" s="49">
        <v>10</v>
      </c>
      <c r="C8" s="49" t="s">
        <v>23</v>
      </c>
      <c r="D8" s="49">
        <v>30</v>
      </c>
      <c r="E8" s="49" t="s">
        <v>23</v>
      </c>
      <c r="F8" s="49">
        <v>18</v>
      </c>
      <c r="G8" s="49" t="s">
        <v>23</v>
      </c>
      <c r="H8" s="49">
        <v>4</v>
      </c>
      <c r="I8" s="49" t="s">
        <v>24</v>
      </c>
      <c r="J8" s="49">
        <v>6</v>
      </c>
      <c r="K8" s="49" t="s">
        <v>23</v>
      </c>
      <c r="N8" s="49" t="s">
        <v>190</v>
      </c>
      <c r="O8" s="7"/>
      <c r="P8" s="52">
        <f>B37/1000000</f>
        <v>10.8</v>
      </c>
    </row>
    <row r="9" spans="1:20" ht="15.75" thickBot="1" x14ac:dyDescent="0.5">
      <c r="A9" s="153" t="s">
        <v>246</v>
      </c>
      <c r="B9" s="49">
        <v>10</v>
      </c>
      <c r="C9" s="49" t="s">
        <v>22</v>
      </c>
      <c r="D9" s="49"/>
      <c r="E9" s="49"/>
      <c r="F9" s="49"/>
      <c r="G9" s="49"/>
      <c r="H9" s="49">
        <v>7</v>
      </c>
      <c r="I9" s="49" t="s">
        <v>23</v>
      </c>
      <c r="J9" s="49" t="s">
        <v>6</v>
      </c>
      <c r="K9" s="49"/>
      <c r="N9" s="49" t="s">
        <v>138</v>
      </c>
      <c r="O9" s="53">
        <f>B65</f>
        <v>24</v>
      </c>
      <c r="P9" s="49">
        <f>B66</f>
        <v>0.47000000000000003</v>
      </c>
    </row>
    <row r="10" spans="1:20" ht="15.75" thickBot="1" x14ac:dyDescent="0.5">
      <c r="A10" s="191" t="s">
        <v>246</v>
      </c>
      <c r="B10" s="49"/>
      <c r="C10" s="49"/>
      <c r="D10" s="49"/>
      <c r="E10" s="49"/>
      <c r="F10" s="49"/>
      <c r="G10" s="49"/>
      <c r="H10" s="49">
        <v>1</v>
      </c>
      <c r="I10" s="49" t="s">
        <v>22</v>
      </c>
      <c r="J10" s="49"/>
      <c r="K10" s="49"/>
      <c r="N10" s="7"/>
      <c r="O10" s="54"/>
      <c r="P10" s="7"/>
    </row>
    <row r="11" spans="1:20" ht="15.75" thickBot="1" x14ac:dyDescent="0.5">
      <c r="A11" s="191" t="s">
        <v>247</v>
      </c>
      <c r="B11" s="191" t="s">
        <v>244</v>
      </c>
      <c r="C11" s="191" t="s">
        <v>22</v>
      </c>
      <c r="D11" s="49"/>
      <c r="E11" s="49"/>
      <c r="F11" s="49"/>
      <c r="G11" s="49"/>
      <c r="H11" s="49"/>
      <c r="I11" s="49"/>
      <c r="J11" s="49"/>
      <c r="K11" s="49"/>
      <c r="N11" s="49" t="s">
        <v>192</v>
      </c>
      <c r="O11" s="53">
        <f>B99</f>
        <v>31</v>
      </c>
      <c r="P11" s="7"/>
    </row>
    <row r="12" spans="1:20" ht="15.75" thickBot="1" x14ac:dyDescent="0.5">
      <c r="A12" s="191" t="s">
        <v>248</v>
      </c>
      <c r="B12" s="191" t="s">
        <v>244</v>
      </c>
      <c r="C12" s="191" t="s">
        <v>22</v>
      </c>
      <c r="D12" s="49"/>
      <c r="E12" s="49"/>
      <c r="F12" s="49"/>
      <c r="G12" s="49"/>
      <c r="H12" s="49"/>
      <c r="I12" s="49"/>
      <c r="J12" s="49"/>
      <c r="K12" s="49"/>
      <c r="N12" s="49" t="s">
        <v>43</v>
      </c>
      <c r="O12" s="53">
        <f>SUM(O9:O11)</f>
        <v>55</v>
      </c>
      <c r="P12" s="52">
        <f>P8+P9</f>
        <v>11.270000000000001</v>
      </c>
    </row>
    <row r="13" spans="1:20" ht="15.75" thickBot="1" x14ac:dyDescent="0.5">
      <c r="A13" s="191" t="s">
        <v>249</v>
      </c>
      <c r="B13" s="191" t="s">
        <v>244</v>
      </c>
      <c r="C13" s="191" t="s">
        <v>22</v>
      </c>
      <c r="D13" s="49"/>
      <c r="E13" s="49"/>
      <c r="F13" s="49"/>
      <c r="G13" s="49"/>
      <c r="H13" s="49"/>
      <c r="I13" s="49"/>
      <c r="J13" s="49"/>
      <c r="K13" s="49"/>
      <c r="N13" s="35"/>
      <c r="O13" s="15"/>
      <c r="P13" s="16"/>
    </row>
    <row r="14" spans="1:20" ht="15.75" thickBot="1" x14ac:dyDescent="0.5">
      <c r="A14" s="191" t="s">
        <v>250</v>
      </c>
      <c r="B14" s="191" t="s">
        <v>244</v>
      </c>
      <c r="C14" s="191" t="s">
        <v>22</v>
      </c>
      <c r="D14" s="49"/>
      <c r="E14" s="49"/>
      <c r="F14" s="49"/>
      <c r="G14" s="49"/>
      <c r="H14" s="49"/>
      <c r="I14" s="49"/>
      <c r="J14" s="49"/>
      <c r="K14" s="49"/>
      <c r="L14" s="44"/>
      <c r="N14" s="35"/>
      <c r="O14" s="15"/>
      <c r="P14" s="16"/>
    </row>
    <row r="15" spans="1:20" ht="15.75" thickBot="1" x14ac:dyDescent="0.5">
      <c r="A15" s="191" t="s">
        <v>245</v>
      </c>
      <c r="B15" s="191" t="s">
        <v>244</v>
      </c>
      <c r="C15" s="191" t="s">
        <v>22</v>
      </c>
      <c r="D15" s="49"/>
      <c r="E15" s="49"/>
      <c r="F15" s="49"/>
      <c r="G15" s="49"/>
      <c r="H15" s="49"/>
      <c r="I15" s="49"/>
      <c r="J15" s="49"/>
      <c r="K15" s="49"/>
      <c r="N15" s="35"/>
      <c r="O15" s="15"/>
      <c r="P15" s="16"/>
    </row>
    <row r="16" spans="1:20" ht="15.75" thickBot="1" x14ac:dyDescent="0.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N16" s="35"/>
      <c r="O16" s="15"/>
      <c r="P16" s="16"/>
    </row>
    <row r="17" spans="1:18" ht="15.75" thickBot="1" x14ac:dyDescent="0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N17" s="35"/>
      <c r="O17" s="15"/>
      <c r="P17" s="16"/>
    </row>
    <row r="18" spans="1:18" ht="15.75" thickBot="1" x14ac:dyDescent="0.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N18" s="35"/>
      <c r="O18" s="15"/>
      <c r="P18" s="16"/>
    </row>
    <row r="19" spans="1:18" ht="15.75" thickBot="1" x14ac:dyDescent="0.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N19" s="35"/>
      <c r="O19" s="15"/>
      <c r="P19" s="16"/>
    </row>
    <row r="20" spans="1:18" ht="15.75" thickBot="1" x14ac:dyDescent="0.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N20" s="35"/>
      <c r="O20" s="15"/>
      <c r="P20" s="16"/>
    </row>
    <row r="21" spans="1:18" ht="15.75" thickBot="1" x14ac:dyDescent="0.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N21" s="35"/>
      <c r="O21" s="15"/>
      <c r="P21" s="16"/>
    </row>
    <row r="22" spans="1:18" ht="15.75" thickBot="1" x14ac:dyDescent="0.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N22" s="35"/>
      <c r="O22" s="15"/>
      <c r="P22" s="16"/>
    </row>
    <row r="23" spans="1:18" ht="15.75" thickBot="1" x14ac:dyDescent="0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N23" s="35"/>
      <c r="O23" s="15"/>
      <c r="P23" s="16"/>
    </row>
    <row r="24" spans="1:18" ht="15.75" thickBot="1" x14ac:dyDescent="0.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4"/>
      <c r="N24" s="35"/>
      <c r="O24" s="15"/>
      <c r="P24" s="16"/>
    </row>
    <row r="25" spans="1:18" ht="15.75" thickBot="1" x14ac:dyDescent="0.5">
      <c r="A25" s="49" t="s">
        <v>41</v>
      </c>
      <c r="B25" s="49">
        <f>SUM(B8:B24)+1</f>
        <v>21</v>
      </c>
      <c r="C25" s="7"/>
      <c r="D25" s="49">
        <f>SUM(D8:D24)</f>
        <v>30</v>
      </c>
      <c r="E25" s="7"/>
      <c r="F25" s="49">
        <f>SUM(F8:F24)</f>
        <v>18</v>
      </c>
      <c r="G25" s="7"/>
      <c r="H25" s="49">
        <f>SUM(H8:H24)</f>
        <v>12</v>
      </c>
      <c r="I25" s="7"/>
      <c r="J25" s="49">
        <f>SUM(J8:J24)</f>
        <v>6</v>
      </c>
      <c r="K25" s="7"/>
    </row>
    <row r="26" spans="1:18" x14ac:dyDescent="0.45">
      <c r="A26" s="20" t="s">
        <v>273</v>
      </c>
      <c r="B26" s="44" t="s">
        <v>297</v>
      </c>
    </row>
    <row r="27" spans="1:18" ht="15.75" thickBot="1" x14ac:dyDescent="0.5"/>
    <row r="28" spans="1:18" ht="16.149999999999999" thickTop="1" thickBot="1" x14ac:dyDescent="0.5">
      <c r="A28" s="55" t="s">
        <v>193</v>
      </c>
      <c r="B28" s="49" t="s">
        <v>251</v>
      </c>
      <c r="C28" s="45"/>
      <c r="D28" s="168"/>
      <c r="E28" s="166"/>
      <c r="F28" s="167" t="s">
        <v>209</v>
      </c>
      <c r="G28" s="53">
        <f>B25+D25+H25+J25</f>
        <v>69</v>
      </c>
      <c r="I28" s="55" t="s">
        <v>108</v>
      </c>
      <c r="J28" s="59">
        <f>Econ!G206</f>
        <v>292.95999999999998</v>
      </c>
    </row>
    <row r="29" spans="1:18" ht="16.149999999999999" thickTop="1" thickBot="1" x14ac:dyDescent="0.5">
      <c r="A29" s="49" t="s">
        <v>194</v>
      </c>
      <c r="B29" s="49" t="s">
        <v>10</v>
      </c>
    </row>
    <row r="30" spans="1:18" ht="15.75" thickBot="1" x14ac:dyDescent="0.5">
      <c r="A30" s="56" t="s">
        <v>195</v>
      </c>
      <c r="B30" s="57" t="s">
        <v>252</v>
      </c>
      <c r="E30" s="222" t="s">
        <v>196</v>
      </c>
      <c r="F30" s="222"/>
      <c r="G30" s="222"/>
      <c r="H30" s="222"/>
      <c r="I30" s="222"/>
      <c r="J30" s="222"/>
      <c r="K30" s="222"/>
    </row>
    <row r="31" spans="1:18" ht="15.75" thickBot="1" x14ac:dyDescent="0.5">
      <c r="A31" s="44"/>
      <c r="B31" s="44"/>
      <c r="C31" s="44"/>
      <c r="E31" s="222" t="s">
        <v>61</v>
      </c>
      <c r="F31" s="222"/>
      <c r="G31" s="222"/>
      <c r="H31" s="49" t="s">
        <v>117</v>
      </c>
      <c r="I31" s="222" t="s">
        <v>197</v>
      </c>
      <c r="J31" s="222"/>
      <c r="K31" s="222"/>
    </row>
    <row r="32" spans="1:18" ht="15.75" thickBot="1" x14ac:dyDescent="0.5">
      <c r="A32" s="44"/>
      <c r="B32" s="44"/>
      <c r="C32" s="44"/>
      <c r="E32" s="226"/>
      <c r="F32" s="227"/>
      <c r="G32" s="228"/>
      <c r="H32" s="174"/>
      <c r="I32" s="226"/>
      <c r="J32" s="227"/>
      <c r="K32" s="228"/>
      <c r="R32" s="44"/>
    </row>
    <row r="33" spans="1:16" ht="15.75" thickBot="1" x14ac:dyDescent="0.5">
      <c r="A33" s="44"/>
      <c r="E33" s="226"/>
      <c r="F33" s="227"/>
      <c r="G33" s="228"/>
      <c r="H33" s="174"/>
      <c r="I33" s="226"/>
      <c r="J33" s="227"/>
      <c r="K33" s="228"/>
    </row>
    <row r="34" spans="1:16" ht="16.149999999999999" thickTop="1" thickBot="1" x14ac:dyDescent="0.5">
      <c r="A34" s="55" t="s">
        <v>6</v>
      </c>
      <c r="B34" s="55" t="s">
        <v>161</v>
      </c>
      <c r="C34" s="20" t="s">
        <v>6</v>
      </c>
      <c r="E34" s="226"/>
      <c r="F34" s="227"/>
      <c r="G34" s="228"/>
      <c r="H34" s="174"/>
      <c r="I34" s="226"/>
      <c r="J34" s="227"/>
      <c r="K34" s="228"/>
    </row>
    <row r="35" spans="1:16" ht="16.149999999999999" thickTop="1" thickBot="1" x14ac:dyDescent="0.5">
      <c r="A35" s="55" t="s">
        <v>198</v>
      </c>
      <c r="B35" s="60">
        <f>(B25+H25+J25)*200000</f>
        <v>7800000</v>
      </c>
      <c r="E35" s="226"/>
      <c r="F35" s="227"/>
      <c r="G35" s="228"/>
      <c r="H35" s="174"/>
      <c r="I35" s="226"/>
      <c r="J35" s="227"/>
      <c r="K35" s="228"/>
    </row>
    <row r="36" spans="1:16" ht="16.149999999999999" thickTop="1" thickBot="1" x14ac:dyDescent="0.5">
      <c r="A36" s="55" t="s">
        <v>199</v>
      </c>
      <c r="B36" s="60">
        <f>D25*100000</f>
        <v>3000000</v>
      </c>
      <c r="E36" s="20" t="s">
        <v>6</v>
      </c>
      <c r="F36" s="20" t="s">
        <v>6</v>
      </c>
      <c r="G36" s="49" t="s">
        <v>41</v>
      </c>
      <c r="H36" s="53">
        <f>SUM(H32:H35)</f>
        <v>0</v>
      </c>
    </row>
    <row r="37" spans="1:16" ht="16.149999999999999" thickTop="1" thickBot="1" x14ac:dyDescent="0.5">
      <c r="A37" s="55" t="s">
        <v>2</v>
      </c>
      <c r="B37" s="60">
        <f>SUM(B35:B36)</f>
        <v>10800000</v>
      </c>
    </row>
    <row r="38" spans="1:16" ht="16.149999999999999" thickTop="1" thickBot="1" x14ac:dyDescent="0.5"/>
    <row r="39" spans="1:16" ht="15.75" thickBot="1" x14ac:dyDescent="0.5">
      <c r="G39" s="222" t="s">
        <v>200</v>
      </c>
      <c r="H39" s="222"/>
      <c r="I39" s="222"/>
      <c r="J39" s="222"/>
    </row>
    <row r="40" spans="1:16" ht="15.75" thickBot="1" x14ac:dyDescent="0.5">
      <c r="G40" s="49" t="s">
        <v>58</v>
      </c>
      <c r="H40" s="49" t="s">
        <v>149</v>
      </c>
      <c r="I40" s="49" t="s">
        <v>150</v>
      </c>
      <c r="J40" s="49" t="s">
        <v>147</v>
      </c>
    </row>
    <row r="41" spans="1:16" ht="15.75" thickBot="1" x14ac:dyDescent="0.5">
      <c r="F41" s="46" t="s">
        <v>201</v>
      </c>
      <c r="G41" s="61">
        <v>4</v>
      </c>
      <c r="H41" s="61">
        <v>8</v>
      </c>
      <c r="I41" s="61">
        <v>16</v>
      </c>
      <c r="J41" s="61">
        <v>1</v>
      </c>
    </row>
    <row r="42" spans="1:16" ht="15.75" thickBot="1" x14ac:dyDescent="0.5">
      <c r="F42" s="46" t="s">
        <v>202</v>
      </c>
      <c r="G42" s="61">
        <v>8</v>
      </c>
      <c r="H42" s="61">
        <v>16</v>
      </c>
      <c r="I42" s="61">
        <v>32</v>
      </c>
      <c r="J42" s="61">
        <v>2</v>
      </c>
    </row>
    <row r="43" spans="1:16" ht="15.75" thickBot="1" x14ac:dyDescent="0.5">
      <c r="F43" s="46" t="s">
        <v>203</v>
      </c>
      <c r="G43" s="61">
        <v>16</v>
      </c>
      <c r="H43" s="61">
        <v>32</v>
      </c>
      <c r="I43" s="61">
        <v>48</v>
      </c>
      <c r="J43" s="61">
        <v>4</v>
      </c>
    </row>
    <row r="47" spans="1:16" ht="15.75" thickBot="1" x14ac:dyDescent="0.5">
      <c r="A47" s="83" t="s">
        <v>239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16.149999999999999" thickTop="1" thickBot="1" x14ac:dyDescent="0.5">
      <c r="A48" s="250" t="s">
        <v>178</v>
      </c>
      <c r="B48" s="223" t="s">
        <v>204</v>
      </c>
      <c r="C48" s="223" t="s">
        <v>148</v>
      </c>
      <c r="D48" s="223" t="s">
        <v>205</v>
      </c>
      <c r="E48" s="223" t="s">
        <v>148</v>
      </c>
      <c r="F48" s="223" t="s">
        <v>206</v>
      </c>
      <c r="G48" s="223" t="s">
        <v>148</v>
      </c>
      <c r="H48" s="223" t="s">
        <v>207</v>
      </c>
      <c r="I48" s="223" t="s">
        <v>148</v>
      </c>
      <c r="J48" s="223" t="s">
        <v>171</v>
      </c>
      <c r="K48" s="223" t="s">
        <v>148</v>
      </c>
      <c r="L48" s="223" t="s">
        <v>173</v>
      </c>
    </row>
    <row r="49" spans="1:12" ht="16.149999999999999" thickTop="1" thickBot="1" x14ac:dyDescent="0.5">
      <c r="A49" s="251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</row>
    <row r="50" spans="1:12" s="47" customFormat="1" ht="16.149999999999999" thickTop="1" thickBot="1" x14ac:dyDescent="0.5">
      <c r="A50" s="62" t="s">
        <v>253</v>
      </c>
      <c r="B50" s="63">
        <v>5</v>
      </c>
      <c r="C50" s="64" t="s">
        <v>23</v>
      </c>
      <c r="D50" s="63">
        <v>8</v>
      </c>
      <c r="E50" s="64" t="s">
        <v>23</v>
      </c>
      <c r="F50" s="67"/>
      <c r="G50" s="68"/>
      <c r="H50" s="63">
        <v>13</v>
      </c>
      <c r="I50" s="64" t="s">
        <v>23</v>
      </c>
      <c r="J50" s="63" t="s">
        <v>6</v>
      </c>
      <c r="K50" s="64" t="s">
        <v>6</v>
      </c>
      <c r="L50" s="62">
        <v>8</v>
      </c>
    </row>
    <row r="51" spans="1:12" ht="16.149999999999999" thickTop="1" thickBot="1" x14ac:dyDescent="0.5">
      <c r="A51" s="55" t="s">
        <v>254</v>
      </c>
      <c r="B51" s="65">
        <v>1</v>
      </c>
      <c r="C51" s="66" t="s">
        <v>6</v>
      </c>
      <c r="D51" s="65">
        <v>2</v>
      </c>
      <c r="E51" s="66" t="s">
        <v>23</v>
      </c>
      <c r="F51" s="65"/>
      <c r="G51" s="66"/>
      <c r="H51" s="65">
        <v>4</v>
      </c>
      <c r="I51" s="66" t="s">
        <v>23</v>
      </c>
      <c r="J51" s="65">
        <v>4</v>
      </c>
      <c r="K51" s="66" t="s">
        <v>23</v>
      </c>
      <c r="L51" s="55" t="s">
        <v>6</v>
      </c>
    </row>
    <row r="52" spans="1:12" ht="16.149999999999999" thickTop="1" thickBot="1" x14ac:dyDescent="0.5">
      <c r="A52" s="55" t="s">
        <v>255</v>
      </c>
      <c r="B52" s="65">
        <v>1</v>
      </c>
      <c r="C52" s="66" t="s">
        <v>6</v>
      </c>
      <c r="D52" s="65">
        <v>2</v>
      </c>
      <c r="E52" s="66" t="s">
        <v>23</v>
      </c>
      <c r="F52" s="65"/>
      <c r="G52" s="66"/>
      <c r="H52" s="65">
        <v>4</v>
      </c>
      <c r="I52" s="66" t="s">
        <v>23</v>
      </c>
      <c r="J52" s="65"/>
      <c r="K52" s="66"/>
      <c r="L52" s="55" t="s">
        <v>6</v>
      </c>
    </row>
    <row r="53" spans="1:12" ht="16.149999999999999" thickTop="1" thickBot="1" x14ac:dyDescent="0.5">
      <c r="A53" s="55"/>
      <c r="B53" s="65"/>
      <c r="C53" s="66"/>
      <c r="D53" s="65"/>
      <c r="E53" s="66"/>
      <c r="F53" s="65"/>
      <c r="G53" s="66"/>
      <c r="H53" s="65"/>
      <c r="I53" s="66"/>
      <c r="J53" s="65"/>
      <c r="K53" s="66"/>
      <c r="L53" s="55"/>
    </row>
    <row r="54" spans="1:12" ht="16.149999999999999" thickTop="1" thickBot="1" x14ac:dyDescent="0.5">
      <c r="A54" s="182"/>
      <c r="B54" s="65"/>
      <c r="C54" s="66"/>
      <c r="D54" s="65"/>
      <c r="E54" s="66"/>
      <c r="F54" s="65"/>
      <c r="G54" s="66"/>
      <c r="H54" s="65"/>
      <c r="I54" s="66"/>
      <c r="J54" s="65"/>
      <c r="K54" s="66"/>
      <c r="L54" s="55"/>
    </row>
    <row r="55" spans="1:12" ht="16.149999999999999" thickTop="1" thickBot="1" x14ac:dyDescent="0.5">
      <c r="A55" s="55"/>
      <c r="B55" s="65"/>
      <c r="C55" s="66"/>
      <c r="D55" s="65"/>
      <c r="E55" s="66"/>
      <c r="F55" s="65"/>
      <c r="G55" s="66"/>
      <c r="H55" s="65"/>
      <c r="I55" s="66"/>
      <c r="J55" s="65"/>
      <c r="K55" s="66"/>
      <c r="L55" s="55"/>
    </row>
    <row r="56" spans="1:12" ht="16.149999999999999" thickTop="1" thickBot="1" x14ac:dyDescent="0.5">
      <c r="A56" s="55"/>
      <c r="B56" s="65"/>
      <c r="C56" s="66"/>
      <c r="D56" s="65"/>
      <c r="E56" s="66"/>
      <c r="F56" s="65"/>
      <c r="G56" s="66"/>
      <c r="H56" s="65"/>
      <c r="I56" s="66"/>
      <c r="J56" s="65"/>
      <c r="K56" s="66"/>
      <c r="L56" s="55"/>
    </row>
    <row r="57" spans="1:12" s="47" customFormat="1" ht="16.149999999999999" thickTop="1" thickBot="1" x14ac:dyDescent="0.5">
      <c r="A57" s="62"/>
      <c r="B57" s="63"/>
      <c r="C57" s="64"/>
      <c r="D57" s="63"/>
      <c r="E57" s="64"/>
      <c r="F57" s="63"/>
      <c r="G57" s="64"/>
      <c r="H57" s="63"/>
      <c r="I57" s="64"/>
      <c r="J57" s="63"/>
      <c r="K57" s="64"/>
      <c r="L57" s="62"/>
    </row>
    <row r="58" spans="1:12" ht="16.149999999999999" thickTop="1" thickBot="1" x14ac:dyDescent="0.5">
      <c r="A58" s="55"/>
      <c r="B58" s="65"/>
      <c r="C58" s="66"/>
      <c r="D58" s="65"/>
      <c r="E58" s="66"/>
      <c r="F58" s="65"/>
      <c r="G58" s="66"/>
      <c r="H58" s="65"/>
      <c r="I58" s="66"/>
      <c r="J58" s="65"/>
      <c r="K58" s="66"/>
      <c r="L58" s="55"/>
    </row>
    <row r="59" spans="1:12" ht="16.149999999999999" thickTop="1" thickBot="1" x14ac:dyDescent="0.5">
      <c r="A59" s="55" t="s">
        <v>3</v>
      </c>
      <c r="B59" s="55">
        <f>SUM(B50:B58)</f>
        <v>7</v>
      </c>
      <c r="C59" s="35"/>
      <c r="D59" s="55">
        <f>SUM(D50:D58)</f>
        <v>12</v>
      </c>
      <c r="E59" s="35"/>
      <c r="F59" s="55">
        <f>SUM(F50:F58)</f>
        <v>0</v>
      </c>
      <c r="G59" s="35"/>
      <c r="H59" s="55">
        <f>SUM(H50:H58)</f>
        <v>21</v>
      </c>
      <c r="I59" s="35"/>
      <c r="J59" s="55">
        <f>SUM(J50:J58)</f>
        <v>4</v>
      </c>
      <c r="K59" s="35"/>
      <c r="L59" s="55">
        <f>SUM(L50:L58)</f>
        <v>8</v>
      </c>
    </row>
    <row r="60" spans="1:12" ht="15.75" thickTop="1" x14ac:dyDescent="0.45"/>
    <row r="62" spans="1:12" ht="15.75" thickBot="1" x14ac:dyDescent="0.5"/>
    <row r="63" spans="1:12" ht="16.149999999999999" thickTop="1" thickBot="1" x14ac:dyDescent="0.5">
      <c r="A63" s="55" t="s">
        <v>193</v>
      </c>
      <c r="B63" s="49" t="s">
        <v>256</v>
      </c>
      <c r="E63" s="49"/>
      <c r="F63" s="58" t="s">
        <v>208</v>
      </c>
      <c r="G63" s="53">
        <f>B64*0.5</f>
        <v>46.5</v>
      </c>
    </row>
    <row r="64" spans="1:12" ht="16.149999999999999" thickTop="1" thickBot="1" x14ac:dyDescent="0.5">
      <c r="A64" s="55" t="s">
        <v>210</v>
      </c>
      <c r="B64" s="55">
        <f>(B59*4)+(D59*2)+(F59*2)+(H59*1)+(J59*1)+(L59*2)</f>
        <v>93</v>
      </c>
    </row>
    <row r="65" spans="1:16" ht="16.149999999999999" thickTop="1" thickBot="1" x14ac:dyDescent="0.5">
      <c r="A65" s="55" t="s">
        <v>211</v>
      </c>
      <c r="B65" s="59">
        <f>ROUNDUP((B64/20)*5,0)</f>
        <v>24</v>
      </c>
      <c r="E65" s="222" t="s">
        <v>212</v>
      </c>
      <c r="F65" s="222"/>
      <c r="G65" s="222"/>
      <c r="H65" s="222"/>
      <c r="I65" s="222"/>
      <c r="J65" s="222"/>
      <c r="K65" s="222"/>
    </row>
    <row r="66" spans="1:16" ht="16.149999999999999" thickTop="1" thickBot="1" x14ac:dyDescent="0.5">
      <c r="A66" s="55" t="s">
        <v>161</v>
      </c>
      <c r="B66" s="55">
        <f>ROUNDUP((B64/20)*0.1,2)</f>
        <v>0.47000000000000003</v>
      </c>
      <c r="C66" s="20" t="s">
        <v>55</v>
      </c>
      <c r="E66" s="222" t="s">
        <v>213</v>
      </c>
      <c r="F66" s="222"/>
      <c r="G66" s="222"/>
      <c r="H66" s="49" t="s">
        <v>117</v>
      </c>
      <c r="I66" s="222" t="s">
        <v>197</v>
      </c>
      <c r="J66" s="222"/>
      <c r="K66" s="222"/>
    </row>
    <row r="67" spans="1:16" ht="15" customHeight="1" thickTop="1" thickBot="1" x14ac:dyDescent="0.5">
      <c r="E67" s="226"/>
      <c r="F67" s="227"/>
      <c r="G67" s="228"/>
      <c r="H67" s="174"/>
      <c r="I67" s="226"/>
      <c r="J67" s="227"/>
      <c r="K67" s="228"/>
    </row>
    <row r="68" spans="1:16" ht="15" customHeight="1" thickBot="1" x14ac:dyDescent="0.5">
      <c r="E68" s="226"/>
      <c r="F68" s="227"/>
      <c r="G68" s="228"/>
      <c r="H68" s="174"/>
      <c r="I68" s="226"/>
      <c r="J68" s="227"/>
      <c r="K68" s="228"/>
    </row>
    <row r="69" spans="1:16" ht="15" customHeight="1" thickBot="1" x14ac:dyDescent="0.5">
      <c r="E69" s="226"/>
      <c r="F69" s="227"/>
      <c r="G69" s="228"/>
      <c r="H69" s="174"/>
      <c r="I69" s="226"/>
      <c r="J69" s="227"/>
      <c r="K69" s="228"/>
    </row>
    <row r="70" spans="1:16" ht="15.75" thickBot="1" x14ac:dyDescent="0.5">
      <c r="E70" s="226"/>
      <c r="F70" s="227"/>
      <c r="G70" s="228"/>
      <c r="H70" s="174"/>
      <c r="I70" s="226"/>
      <c r="J70" s="227"/>
      <c r="K70" s="228"/>
    </row>
    <row r="71" spans="1:16" ht="15.75" thickBot="1" x14ac:dyDescent="0.5">
      <c r="E71" s="20" t="s">
        <v>6</v>
      </c>
      <c r="F71" s="20" t="s">
        <v>6</v>
      </c>
      <c r="G71" s="49" t="s">
        <v>41</v>
      </c>
      <c r="H71" s="49">
        <f>SUM(H67:H70)</f>
        <v>0</v>
      </c>
    </row>
    <row r="72" spans="1:16" ht="15.75" thickBot="1" x14ac:dyDescent="0.5">
      <c r="G72" s="49" t="s">
        <v>108</v>
      </c>
      <c r="H72" s="61">
        <f>J28-H36-H71</f>
        <v>292.95999999999998</v>
      </c>
      <c r="I72" s="48"/>
    </row>
    <row r="75" spans="1:16" ht="15.75" thickBot="1" x14ac:dyDescent="0.5">
      <c r="A75" s="84" t="s">
        <v>240</v>
      </c>
    </row>
    <row r="76" spans="1:16" ht="15.75" thickBot="1" x14ac:dyDescent="0.5">
      <c r="A76" s="49" t="s">
        <v>214</v>
      </c>
      <c r="B76" s="49" t="s">
        <v>166</v>
      </c>
      <c r="C76" s="49" t="s">
        <v>117</v>
      </c>
      <c r="D76" s="241" t="s">
        <v>178</v>
      </c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</row>
    <row r="77" spans="1:16" ht="15.75" thickBot="1" x14ac:dyDescent="0.5">
      <c r="A77" s="49" t="s">
        <v>219</v>
      </c>
      <c r="B77" s="49">
        <v>5</v>
      </c>
      <c r="C77" s="69"/>
      <c r="D77" s="242" t="s">
        <v>257</v>
      </c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4"/>
    </row>
    <row r="78" spans="1:16" ht="15.75" thickBot="1" x14ac:dyDescent="0.5">
      <c r="A78" s="49" t="s">
        <v>215</v>
      </c>
      <c r="B78" s="49">
        <v>5</v>
      </c>
      <c r="C78" s="70">
        <f>B78</f>
        <v>5</v>
      </c>
      <c r="D78" s="245" t="s">
        <v>258</v>
      </c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7"/>
    </row>
    <row r="79" spans="1:16" x14ac:dyDescent="0.45">
      <c r="A79" s="35"/>
      <c r="B79" s="35"/>
      <c r="C79" s="15"/>
      <c r="D79" s="245" t="s">
        <v>274</v>
      </c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60"/>
    </row>
    <row r="80" spans="1:16" x14ac:dyDescent="0.45">
      <c r="A80" s="35"/>
      <c r="B80" s="35"/>
      <c r="C80" s="15"/>
      <c r="D80" s="245" t="s">
        <v>259</v>
      </c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60"/>
    </row>
    <row r="81" spans="1:16" x14ac:dyDescent="0.45">
      <c r="A81" s="35"/>
      <c r="B81" s="35"/>
      <c r="C81" s="15"/>
      <c r="D81" s="245" t="s">
        <v>281</v>
      </c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60"/>
    </row>
    <row r="82" spans="1:16" x14ac:dyDescent="0.45">
      <c r="A82" s="35"/>
      <c r="B82" s="35"/>
      <c r="C82" s="15"/>
      <c r="D82" s="261" t="s">
        <v>298</v>
      </c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3"/>
    </row>
    <row r="83" spans="1:16" ht="15.75" thickBot="1" x14ac:dyDescent="0.5">
      <c r="A83" s="35"/>
      <c r="B83" s="35"/>
      <c r="C83" s="15"/>
      <c r="D83" s="256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8"/>
    </row>
    <row r="84" spans="1:16" x14ac:dyDescent="0.45">
      <c r="A84" s="35"/>
      <c r="B84" s="35"/>
      <c r="C84" s="15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5.75" thickBot="1" x14ac:dyDescent="0.5">
      <c r="A85" s="35"/>
      <c r="B85" s="35"/>
      <c r="C85" s="15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.75" thickBot="1" x14ac:dyDescent="0.5">
      <c r="A86" s="49" t="s">
        <v>216</v>
      </c>
      <c r="B86" s="49" t="s">
        <v>166</v>
      </c>
      <c r="C86" s="49" t="s">
        <v>117</v>
      </c>
      <c r="D86" s="222" t="s">
        <v>178</v>
      </c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</row>
    <row r="87" spans="1:16" ht="15.75" thickBot="1" x14ac:dyDescent="0.5">
      <c r="A87" s="57" t="s">
        <v>219</v>
      </c>
      <c r="B87" s="57">
        <v>15</v>
      </c>
      <c r="C87" s="69"/>
      <c r="D87" s="252" t="s">
        <v>257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4"/>
    </row>
    <row r="88" spans="1:16" ht="15.75" thickBot="1" x14ac:dyDescent="0.5">
      <c r="A88" s="165" t="s">
        <v>215</v>
      </c>
      <c r="B88" s="165"/>
      <c r="C88" s="164">
        <f>B88</f>
        <v>0</v>
      </c>
      <c r="D88" s="169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1"/>
    </row>
    <row r="89" spans="1:16" ht="15.75" thickBot="1" x14ac:dyDescent="0.5"/>
    <row r="90" spans="1:16" ht="15.75" thickBot="1" x14ac:dyDescent="0.5">
      <c r="A90" s="49" t="s">
        <v>217</v>
      </c>
      <c r="B90" s="49" t="s">
        <v>166</v>
      </c>
      <c r="C90" s="49" t="s">
        <v>117</v>
      </c>
      <c r="D90" s="222" t="s">
        <v>178</v>
      </c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</row>
    <row r="91" spans="1:16" ht="15.75" thickBot="1" x14ac:dyDescent="0.5">
      <c r="A91" s="49"/>
      <c r="B91" s="49">
        <v>13</v>
      </c>
      <c r="C91" s="70">
        <f>B91*2</f>
        <v>26</v>
      </c>
      <c r="D91" s="229" t="s">
        <v>260</v>
      </c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1"/>
    </row>
    <row r="92" spans="1:16" ht="35.25" customHeight="1" thickBot="1" x14ac:dyDescent="0.5">
      <c r="D92" s="232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4"/>
    </row>
    <row r="93" spans="1:16" ht="15.75" thickBot="1" x14ac:dyDescent="0.5">
      <c r="A93" s="20" t="s">
        <v>6</v>
      </c>
    </row>
    <row r="94" spans="1:16" ht="15.75" thickBot="1" x14ac:dyDescent="0.5">
      <c r="A94" s="49" t="s">
        <v>218</v>
      </c>
      <c r="B94" s="49" t="s">
        <v>166</v>
      </c>
      <c r="C94" s="49" t="s">
        <v>117</v>
      </c>
      <c r="D94" s="222" t="s">
        <v>178</v>
      </c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</row>
    <row r="95" spans="1:16" ht="15.75" thickBot="1" x14ac:dyDescent="0.5">
      <c r="A95" s="49"/>
      <c r="B95" s="49"/>
      <c r="C95" s="70">
        <f>B95*4</f>
        <v>0</v>
      </c>
      <c r="D95" s="235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7"/>
    </row>
    <row r="96" spans="1:16" ht="15.75" thickBot="1" x14ac:dyDescent="0.5">
      <c r="D96" s="238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40"/>
    </row>
    <row r="99" spans="1:17" x14ac:dyDescent="0.45">
      <c r="A99" s="168" t="s">
        <v>3</v>
      </c>
      <c r="B99" s="172">
        <f>C78+C88+C91+C95</f>
        <v>31</v>
      </c>
    </row>
    <row r="100" spans="1:17" x14ac:dyDescent="0.4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.75" thickBot="1" x14ac:dyDescent="0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.75" thickBot="1" x14ac:dyDescent="0.5">
      <c r="C102" s="153" t="s">
        <v>57</v>
      </c>
      <c r="D102" s="61">
        <f>H72</f>
        <v>292.95999999999998</v>
      </c>
    </row>
  </sheetData>
  <sheetProtection algorithmName="SHA-512" hashValue="kCJhk8MXQYAMurUfbzxDA5yMZMgWlcmvmh/s1LDK4n1tEyBiROd58Ww81kJPNcJgyAIZ4nfJzTGT0sXI5a5OZA==" saltValue="9NmpvVj+gEzHicg21BwlzQ==" spinCount="100000" sheet="1" objects="1" scenarios="1"/>
  <mergeCells count="61">
    <mergeCell ref="D87:P87"/>
    <mergeCell ref="A2:T2"/>
    <mergeCell ref="D86:P86"/>
    <mergeCell ref="D83:P83"/>
    <mergeCell ref="D79:P79"/>
    <mergeCell ref="D80:P80"/>
    <mergeCell ref="D81:P81"/>
    <mergeCell ref="D82:P82"/>
    <mergeCell ref="E69:G69"/>
    <mergeCell ref="E70:G70"/>
    <mergeCell ref="I32:K32"/>
    <mergeCell ref="I33:K33"/>
    <mergeCell ref="I34:K34"/>
    <mergeCell ref="I69:K69"/>
    <mergeCell ref="I70:K70"/>
    <mergeCell ref="E35:G35"/>
    <mergeCell ref="A48:A49"/>
    <mergeCell ref="G48:G49"/>
    <mergeCell ref="H48:H49"/>
    <mergeCell ref="K48:K49"/>
    <mergeCell ref="B48:B49"/>
    <mergeCell ref="C48:C49"/>
    <mergeCell ref="I66:K66"/>
    <mergeCell ref="I67:K67"/>
    <mergeCell ref="I68:K68"/>
    <mergeCell ref="E65:K65"/>
    <mergeCell ref="E68:G68"/>
    <mergeCell ref="E66:G66"/>
    <mergeCell ref="E67:G67"/>
    <mergeCell ref="D91:P92"/>
    <mergeCell ref="D94:P94"/>
    <mergeCell ref="D95:P96"/>
    <mergeCell ref="N6:P6"/>
    <mergeCell ref="D76:P76"/>
    <mergeCell ref="D77:P77"/>
    <mergeCell ref="D78:P78"/>
    <mergeCell ref="D90:P90"/>
    <mergeCell ref="D48:D49"/>
    <mergeCell ref="E48:E49"/>
    <mergeCell ref="F48:F49"/>
    <mergeCell ref="G39:J39"/>
    <mergeCell ref="L48:L49"/>
    <mergeCell ref="K6:K7"/>
    <mergeCell ref="I31:K31"/>
    <mergeCell ref="E30:K30"/>
    <mergeCell ref="E31:G31"/>
    <mergeCell ref="J48:J49"/>
    <mergeCell ref="I48:I49"/>
    <mergeCell ref="B6:B7"/>
    <mergeCell ref="D6:D7"/>
    <mergeCell ref="F6:F7"/>
    <mergeCell ref="H6:H7"/>
    <mergeCell ref="J6:J7"/>
    <mergeCell ref="C6:C7"/>
    <mergeCell ref="E6:E7"/>
    <mergeCell ref="G6:G7"/>
    <mergeCell ref="I6:I7"/>
    <mergeCell ref="E32:G32"/>
    <mergeCell ref="E33:G33"/>
    <mergeCell ref="E34:G34"/>
    <mergeCell ref="I35:K35"/>
  </mergeCells>
  <dataValidations count="2">
    <dataValidation type="list" showInputMessage="1" showErrorMessage="1" sqref="C14:C24 K8:K24 I9:I24 G9:G24 E8:E24 C9:C12" xr:uid="{00000000-0002-0000-0100-000000000000}">
      <formula1>Weapon_Quality</formula1>
    </dataValidation>
    <dataValidation type="list" showInputMessage="1" showErrorMessage="1" sqref="B29" xr:uid="{00000000-0002-0000-0100-000001000000}">
      <formula1>Yes_No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3"/>
  <sheetViews>
    <sheetView showGridLines="0" workbookViewId="0"/>
  </sheetViews>
  <sheetFormatPr defaultColWidth="9.1328125" defaultRowHeight="17.649999999999999" x14ac:dyDescent="0.5"/>
  <cols>
    <col min="1" max="1" width="3.9296875" style="31" customWidth="1"/>
    <col min="2" max="2" width="32.06640625" style="31" customWidth="1"/>
    <col min="3" max="3" width="14.59765625" style="31" bestFit="1" customWidth="1"/>
    <col min="4" max="5" width="9.1328125" style="31"/>
    <col min="6" max="6" width="10.6640625" style="31" customWidth="1"/>
    <col min="7" max="7" width="9" style="31" customWidth="1"/>
    <col min="8" max="16384" width="9.1328125" style="31"/>
  </cols>
  <sheetData>
    <row r="1" spans="1:16" s="17" customFormat="1" x14ac:dyDescent="0.5">
      <c r="A1" s="33"/>
      <c r="B1" s="265" t="s">
        <v>241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s="11" customFormat="1" x14ac:dyDescent="0.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1" customFormat="1" x14ac:dyDescent="0.5">
      <c r="B3" s="23" t="s">
        <v>107</v>
      </c>
      <c r="C3" s="23"/>
      <c r="D3" s="2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1" customFormat="1" ht="18" thickBot="1" x14ac:dyDescent="0.55000000000000004">
      <c r="B4" s="23"/>
      <c r="C4" s="23"/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11" customFormat="1" ht="18" thickBot="1" x14ac:dyDescent="0.55000000000000004">
      <c r="B5" s="267"/>
      <c r="C5" s="268" t="s">
        <v>221</v>
      </c>
      <c r="D5" s="269"/>
      <c r="E5" s="269"/>
      <c r="F5" s="269"/>
      <c r="G5" s="269"/>
      <c r="H5" s="269"/>
      <c r="I5" s="270"/>
      <c r="J5" s="17"/>
      <c r="K5" s="266" t="s">
        <v>222</v>
      </c>
      <c r="L5" s="266"/>
      <c r="M5" s="266"/>
      <c r="N5" s="266"/>
      <c r="O5" s="266"/>
      <c r="P5" s="266"/>
    </row>
    <row r="6" spans="1:16" s="11" customFormat="1" ht="18" thickBot="1" x14ac:dyDescent="0.55000000000000004">
      <c r="B6" s="267"/>
      <c r="C6" s="40" t="s">
        <v>134</v>
      </c>
      <c r="D6" s="40" t="s">
        <v>91</v>
      </c>
      <c r="E6" s="40" t="s">
        <v>92</v>
      </c>
      <c r="F6" s="40" t="s">
        <v>99</v>
      </c>
      <c r="G6" s="40" t="s">
        <v>93</v>
      </c>
      <c r="H6" s="40" t="s">
        <v>95</v>
      </c>
      <c r="I6" s="40" t="s">
        <v>96</v>
      </c>
      <c r="J6" s="17"/>
      <c r="K6" s="40" t="s">
        <v>91</v>
      </c>
      <c r="L6" s="40" t="s">
        <v>92</v>
      </c>
      <c r="M6" s="40" t="s">
        <v>99</v>
      </c>
      <c r="N6" s="40" t="s">
        <v>93</v>
      </c>
      <c r="O6" s="40" t="s">
        <v>95</v>
      </c>
      <c r="P6" s="40" t="s">
        <v>96</v>
      </c>
    </row>
    <row r="7" spans="1:16" s="11" customFormat="1" ht="18" thickBot="1" x14ac:dyDescent="0.55000000000000004">
      <c r="B7" s="21"/>
      <c r="C7" s="43">
        <f>SUM(C11:C30)</f>
        <v>56</v>
      </c>
      <c r="D7" s="41">
        <f t="shared" ref="D7:P7" si="0">SUM(D11:D30)</f>
        <v>0</v>
      </c>
      <c r="E7" s="41">
        <f t="shared" si="0"/>
        <v>0</v>
      </c>
      <c r="F7" s="41">
        <f t="shared" si="0"/>
        <v>2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10"/>
      <c r="K7" s="41">
        <f t="shared" si="0"/>
        <v>3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f t="shared" si="0"/>
        <v>0</v>
      </c>
    </row>
    <row r="8" spans="1:16" s="17" customFormat="1" ht="18" thickBot="1" x14ac:dyDescent="0.55000000000000004">
      <c r="A8" s="33"/>
      <c r="B8" s="3"/>
      <c r="C8" s="22"/>
      <c r="D8" s="22"/>
      <c r="E8" s="22"/>
      <c r="F8" s="22"/>
      <c r="G8" s="22"/>
      <c r="H8" s="22"/>
      <c r="I8" s="22"/>
      <c r="J8" s="3"/>
      <c r="K8" s="22"/>
      <c r="L8" s="22"/>
      <c r="M8" s="22"/>
      <c r="N8" s="22"/>
      <c r="O8" s="22"/>
      <c r="P8" s="22"/>
    </row>
    <row r="9" spans="1:16" s="17" customFormat="1" ht="18.399999999999999" thickTop="1" thickBot="1" x14ac:dyDescent="0.55000000000000004">
      <c r="A9" s="33"/>
      <c r="C9" s="266" t="s">
        <v>223</v>
      </c>
      <c r="D9" s="266"/>
      <c r="E9" s="266"/>
      <c r="F9" s="266"/>
      <c r="G9" s="266"/>
      <c r="H9" s="266"/>
      <c r="I9" s="40"/>
      <c r="K9" s="266" t="s">
        <v>224</v>
      </c>
      <c r="L9" s="266"/>
      <c r="M9" s="266"/>
      <c r="N9" s="266"/>
      <c r="O9" s="266"/>
      <c r="P9" s="266"/>
    </row>
    <row r="10" spans="1:16" s="17" customFormat="1" ht="18" thickBot="1" x14ac:dyDescent="0.55000000000000004">
      <c r="A10" s="33"/>
      <c r="C10" s="40" t="s">
        <v>134</v>
      </c>
      <c r="D10" s="176" t="s">
        <v>91</v>
      </c>
      <c r="E10" s="176" t="s">
        <v>92</v>
      </c>
      <c r="F10" s="176" t="s">
        <v>99</v>
      </c>
      <c r="G10" s="176" t="s">
        <v>93</v>
      </c>
      <c r="H10" s="176" t="s">
        <v>95</v>
      </c>
      <c r="I10" s="176" t="s">
        <v>96</v>
      </c>
      <c r="K10" s="176" t="s">
        <v>91</v>
      </c>
      <c r="L10" s="176" t="s">
        <v>92</v>
      </c>
      <c r="M10" s="176" t="s">
        <v>99</v>
      </c>
      <c r="N10" s="176" t="s">
        <v>93</v>
      </c>
      <c r="O10" s="176" t="s">
        <v>95</v>
      </c>
      <c r="P10" s="176" t="s">
        <v>96</v>
      </c>
    </row>
    <row r="11" spans="1:16" s="17" customFormat="1" ht="18" thickBot="1" x14ac:dyDescent="0.55000000000000004">
      <c r="A11" s="33"/>
      <c r="B11" s="12" t="s">
        <v>247</v>
      </c>
      <c r="C11" s="71">
        <v>11</v>
      </c>
      <c r="D11" s="40"/>
      <c r="E11" s="40"/>
      <c r="F11" s="40"/>
      <c r="G11" s="40"/>
      <c r="H11" s="40"/>
      <c r="I11" s="40"/>
      <c r="J11" s="17" t="s">
        <v>6</v>
      </c>
      <c r="K11" s="40"/>
      <c r="L11" s="40"/>
      <c r="M11" s="40"/>
      <c r="N11" s="40"/>
      <c r="O11" s="40"/>
      <c r="P11" s="40"/>
    </row>
    <row r="12" spans="1:16" s="17" customFormat="1" ht="18" thickBot="1" x14ac:dyDescent="0.55000000000000004">
      <c r="A12" s="33"/>
      <c r="B12" s="12" t="s">
        <v>248</v>
      </c>
      <c r="C12" s="71">
        <v>20</v>
      </c>
      <c r="D12" s="40"/>
      <c r="E12" s="40"/>
      <c r="F12" s="40">
        <v>1</v>
      </c>
      <c r="G12" s="40"/>
      <c r="H12" s="40"/>
      <c r="I12" s="40"/>
      <c r="J12" s="30" t="s">
        <v>6</v>
      </c>
      <c r="K12" s="40">
        <v>1</v>
      </c>
      <c r="L12" s="40"/>
      <c r="M12" s="40"/>
      <c r="N12" s="40"/>
      <c r="O12" s="40"/>
      <c r="P12" s="40"/>
    </row>
    <row r="13" spans="1:16" s="30" customFormat="1" ht="18" thickBot="1" x14ac:dyDescent="0.55000000000000004">
      <c r="A13" s="33"/>
      <c r="B13" s="12" t="s">
        <v>261</v>
      </c>
      <c r="C13" s="71">
        <v>5</v>
      </c>
      <c r="D13" s="40"/>
      <c r="E13" s="40"/>
      <c r="F13" s="40"/>
      <c r="G13" s="40"/>
      <c r="H13" s="40"/>
      <c r="I13" s="40"/>
      <c r="J13" s="33" t="s">
        <v>6</v>
      </c>
      <c r="K13" s="40"/>
      <c r="L13" s="40"/>
      <c r="M13" s="40"/>
      <c r="N13" s="40"/>
      <c r="O13" s="40"/>
      <c r="P13" s="40"/>
    </row>
    <row r="14" spans="1:16" s="30" customFormat="1" ht="18" thickBot="1" x14ac:dyDescent="0.55000000000000004">
      <c r="A14" s="33"/>
      <c r="B14" s="12" t="s">
        <v>271</v>
      </c>
      <c r="C14" s="71">
        <v>18</v>
      </c>
      <c r="D14" s="40"/>
      <c r="E14" s="40"/>
      <c r="F14" s="40"/>
      <c r="G14" s="40"/>
      <c r="H14" s="40"/>
      <c r="I14" s="40"/>
      <c r="J14" s="30" t="s">
        <v>6</v>
      </c>
      <c r="K14" s="40"/>
      <c r="L14" s="40"/>
      <c r="M14" s="40"/>
      <c r="N14" s="40"/>
      <c r="O14" s="40"/>
      <c r="P14" s="40"/>
    </row>
    <row r="15" spans="1:16" s="30" customFormat="1" ht="18" thickBot="1" x14ac:dyDescent="0.55000000000000004">
      <c r="A15" s="33"/>
      <c r="B15" s="12" t="s">
        <v>262</v>
      </c>
      <c r="C15" s="71">
        <v>2</v>
      </c>
      <c r="D15" s="40"/>
      <c r="E15" s="40"/>
      <c r="F15" s="40"/>
      <c r="G15" s="40"/>
      <c r="H15" s="40"/>
      <c r="I15" s="40"/>
      <c r="J15" s="30" t="s">
        <v>6</v>
      </c>
      <c r="K15" s="40"/>
      <c r="L15" s="40"/>
      <c r="M15" s="40"/>
      <c r="N15" s="40"/>
      <c r="O15" s="40"/>
      <c r="P15" s="40"/>
    </row>
    <row r="16" spans="1:16" s="30" customFormat="1" ht="18" thickBot="1" x14ac:dyDescent="0.55000000000000004">
      <c r="A16" s="33"/>
      <c r="B16" s="12" t="s">
        <v>263</v>
      </c>
      <c r="C16" s="71">
        <v>0</v>
      </c>
      <c r="D16" s="40"/>
      <c r="E16" s="40"/>
      <c r="F16" s="40"/>
      <c r="G16" s="40"/>
      <c r="H16" s="40"/>
      <c r="I16" s="40"/>
      <c r="J16" s="30" t="s">
        <v>6</v>
      </c>
      <c r="K16" s="40"/>
      <c r="L16" s="40"/>
      <c r="M16" s="40"/>
      <c r="N16" s="40"/>
      <c r="O16" s="40"/>
      <c r="P16" s="40"/>
    </row>
    <row r="17" spans="1:16" s="30" customFormat="1" ht="18" thickBot="1" x14ac:dyDescent="0.55000000000000004">
      <c r="A17" s="33"/>
      <c r="B17" s="12" t="s">
        <v>264</v>
      </c>
      <c r="C17" s="71">
        <v>0</v>
      </c>
      <c r="D17" s="40"/>
      <c r="E17" s="40"/>
      <c r="F17" s="40"/>
      <c r="G17" s="40"/>
      <c r="H17" s="40"/>
      <c r="I17" s="40"/>
      <c r="J17" s="30" t="s">
        <v>6</v>
      </c>
      <c r="K17" s="40"/>
      <c r="L17" s="40"/>
      <c r="M17" s="40"/>
      <c r="N17" s="40"/>
      <c r="O17" s="40"/>
      <c r="P17" s="40"/>
    </row>
    <row r="18" spans="1:16" s="30" customFormat="1" ht="18" thickBot="1" x14ac:dyDescent="0.55000000000000004">
      <c r="A18" s="33"/>
      <c r="B18" s="12" t="s">
        <v>265</v>
      </c>
      <c r="C18" s="71">
        <v>0</v>
      </c>
      <c r="D18" s="40"/>
      <c r="E18" s="40"/>
      <c r="F18" s="40"/>
      <c r="G18" s="40"/>
      <c r="H18" s="40"/>
      <c r="I18" s="40"/>
      <c r="K18" s="40"/>
      <c r="L18" s="40"/>
      <c r="M18" s="40"/>
      <c r="N18" s="40"/>
      <c r="O18" s="40"/>
      <c r="P18" s="40"/>
    </row>
    <row r="19" spans="1:16" s="30" customFormat="1" ht="18" thickBot="1" x14ac:dyDescent="0.55000000000000004">
      <c r="A19" s="33"/>
      <c r="B19" s="12" t="s">
        <v>282</v>
      </c>
      <c r="C19" s="71">
        <v>0</v>
      </c>
      <c r="D19" s="40"/>
      <c r="E19" s="40"/>
      <c r="F19" s="40">
        <v>1</v>
      </c>
      <c r="G19" s="40"/>
      <c r="H19" s="40"/>
      <c r="I19" s="40"/>
      <c r="J19" s="33"/>
      <c r="K19" s="40">
        <v>1</v>
      </c>
      <c r="L19" s="40"/>
      <c r="M19" s="40"/>
      <c r="N19" s="40"/>
      <c r="O19" s="40"/>
      <c r="P19" s="40"/>
    </row>
    <row r="20" spans="1:16" s="30" customFormat="1" ht="18" thickBot="1" x14ac:dyDescent="0.55000000000000004">
      <c r="A20" s="33"/>
      <c r="B20" s="12" t="s">
        <v>293</v>
      </c>
      <c r="C20" s="71">
        <v>0</v>
      </c>
      <c r="D20" s="40"/>
      <c r="E20" s="40"/>
      <c r="F20" s="40"/>
      <c r="G20" s="40"/>
      <c r="H20" s="40"/>
      <c r="I20" s="40"/>
      <c r="J20" s="33"/>
      <c r="K20" s="40">
        <v>1</v>
      </c>
      <c r="L20" s="40"/>
      <c r="M20" s="40"/>
      <c r="N20" s="40"/>
      <c r="O20" s="40"/>
      <c r="P20" s="40"/>
    </row>
    <row r="21" spans="1:16" s="33" customFormat="1" ht="18" thickBot="1" x14ac:dyDescent="0.55000000000000004">
      <c r="B21" s="12"/>
      <c r="C21" s="71"/>
      <c r="D21" s="40"/>
      <c r="E21" s="40"/>
      <c r="F21" s="40"/>
      <c r="G21" s="40"/>
      <c r="H21" s="40"/>
      <c r="I21" s="40"/>
      <c r="K21" s="40"/>
      <c r="L21" s="40"/>
      <c r="M21" s="40"/>
      <c r="N21" s="40"/>
      <c r="O21" s="40"/>
      <c r="P21" s="40"/>
    </row>
    <row r="22" spans="1:16" s="33" customFormat="1" ht="18" thickBot="1" x14ac:dyDescent="0.55000000000000004">
      <c r="B22" s="12"/>
      <c r="C22" s="71"/>
      <c r="D22" s="40"/>
      <c r="E22" s="40"/>
      <c r="F22" s="40"/>
      <c r="G22" s="40"/>
      <c r="H22" s="40"/>
      <c r="I22" s="40"/>
      <c r="K22" s="40"/>
      <c r="L22" s="40"/>
      <c r="M22" s="40"/>
      <c r="N22" s="40"/>
      <c r="O22" s="40"/>
      <c r="P22" s="40"/>
    </row>
    <row r="23" spans="1:16" s="33" customFormat="1" ht="18" thickBot="1" x14ac:dyDescent="0.55000000000000004">
      <c r="B23" s="12"/>
      <c r="C23" s="71"/>
      <c r="D23" s="40"/>
      <c r="E23" s="40"/>
      <c r="F23" s="40"/>
      <c r="G23" s="40"/>
      <c r="H23" s="40"/>
      <c r="I23" s="40"/>
      <c r="K23" s="40"/>
      <c r="L23" s="40"/>
      <c r="M23" s="40"/>
      <c r="N23" s="40"/>
      <c r="O23" s="40"/>
      <c r="P23" s="40"/>
    </row>
    <row r="24" spans="1:16" s="33" customFormat="1" ht="18" thickBot="1" x14ac:dyDescent="0.55000000000000004">
      <c r="B24" s="12"/>
      <c r="C24" s="71"/>
      <c r="D24" s="40"/>
      <c r="E24" s="40"/>
      <c r="F24" s="40"/>
      <c r="G24" s="40"/>
      <c r="H24" s="40"/>
      <c r="I24" s="40"/>
      <c r="K24" s="40"/>
      <c r="L24" s="40"/>
      <c r="M24" s="40"/>
      <c r="N24" s="40"/>
      <c r="O24" s="40"/>
      <c r="P24" s="40"/>
    </row>
    <row r="25" spans="1:16" s="33" customFormat="1" ht="18" thickBot="1" x14ac:dyDescent="0.55000000000000004">
      <c r="B25" s="12"/>
      <c r="C25" s="71"/>
      <c r="D25" s="40"/>
      <c r="E25" s="40"/>
      <c r="F25" s="40"/>
      <c r="G25" s="40"/>
      <c r="H25" s="40"/>
      <c r="I25" s="40"/>
      <c r="K25" s="40"/>
      <c r="L25" s="40"/>
      <c r="M25" s="40"/>
      <c r="N25" s="40"/>
      <c r="O25" s="40"/>
      <c r="P25" s="40"/>
    </row>
    <row r="26" spans="1:16" s="33" customFormat="1" ht="18" thickBot="1" x14ac:dyDescent="0.55000000000000004">
      <c r="B26" s="12"/>
      <c r="C26" s="71"/>
      <c r="D26" s="40"/>
      <c r="E26" s="40"/>
      <c r="F26" s="40"/>
      <c r="G26" s="40"/>
      <c r="H26" s="40"/>
      <c r="I26" s="40"/>
      <c r="K26" s="40"/>
      <c r="L26" s="40"/>
      <c r="M26" s="40"/>
      <c r="N26" s="40"/>
      <c r="O26" s="40"/>
      <c r="P26" s="40"/>
    </row>
    <row r="27" spans="1:16" s="33" customFormat="1" ht="18" thickBot="1" x14ac:dyDescent="0.55000000000000004">
      <c r="B27" s="12"/>
      <c r="C27" s="71"/>
      <c r="D27" s="40"/>
      <c r="E27" s="40"/>
      <c r="F27" s="40"/>
      <c r="G27" s="40"/>
      <c r="H27" s="40"/>
      <c r="I27" s="40"/>
      <c r="K27" s="40"/>
      <c r="L27" s="40"/>
      <c r="M27" s="40"/>
      <c r="N27" s="40"/>
      <c r="O27" s="40"/>
      <c r="P27" s="40"/>
    </row>
    <row r="28" spans="1:16" s="33" customFormat="1" ht="18" thickBot="1" x14ac:dyDescent="0.55000000000000004">
      <c r="B28" s="12"/>
      <c r="C28" s="71"/>
      <c r="D28" s="40"/>
      <c r="E28" s="40"/>
      <c r="F28" s="40"/>
      <c r="G28" s="40"/>
      <c r="H28" s="40"/>
      <c r="I28" s="40"/>
      <c r="K28" s="40"/>
      <c r="L28" s="40"/>
      <c r="M28" s="40"/>
      <c r="N28" s="40"/>
      <c r="O28" s="40"/>
      <c r="P28" s="40"/>
    </row>
    <row r="29" spans="1:16" s="33" customFormat="1" ht="18" thickBot="1" x14ac:dyDescent="0.55000000000000004">
      <c r="B29" s="12"/>
      <c r="C29" s="71"/>
      <c r="D29" s="40"/>
      <c r="E29" s="40"/>
      <c r="F29" s="40"/>
      <c r="G29" s="40"/>
      <c r="H29" s="40"/>
      <c r="I29" s="40"/>
      <c r="K29" s="40"/>
      <c r="L29" s="40"/>
      <c r="M29" s="40"/>
      <c r="N29" s="40"/>
      <c r="O29" s="40"/>
      <c r="P29" s="40"/>
    </row>
    <row r="30" spans="1:16" s="33" customFormat="1" ht="18" thickBot="1" x14ac:dyDescent="0.55000000000000004">
      <c r="B30" s="12"/>
      <c r="C30" s="71"/>
      <c r="D30" s="40"/>
      <c r="E30" s="40"/>
      <c r="F30" s="40"/>
      <c r="G30" s="40"/>
      <c r="H30" s="40"/>
      <c r="I30" s="40"/>
      <c r="K30" s="40"/>
      <c r="L30" s="40"/>
      <c r="M30" s="40"/>
      <c r="N30" s="40"/>
      <c r="O30" s="40"/>
      <c r="P30" s="40"/>
    </row>
    <row r="31" spans="1:16" s="33" customFormat="1" x14ac:dyDescent="0.5"/>
    <row r="32" spans="1:16" x14ac:dyDescent="0.5">
      <c r="D32" s="28"/>
    </row>
    <row r="33" spans="2:16" x14ac:dyDescent="0.5">
      <c r="B33" s="271" t="s">
        <v>233</v>
      </c>
      <c r="C33" s="272"/>
      <c r="D33" s="272"/>
      <c r="E33" s="272"/>
      <c r="F33" s="272"/>
      <c r="G33" s="273"/>
      <c r="H33" s="28"/>
    </row>
    <row r="34" spans="2:16" x14ac:dyDescent="0.5">
      <c r="B34" s="42" t="s">
        <v>180</v>
      </c>
      <c r="C34" s="42" t="s">
        <v>213</v>
      </c>
      <c r="D34" s="42" t="s">
        <v>225</v>
      </c>
      <c r="E34" s="154" t="s">
        <v>117</v>
      </c>
      <c r="F34" s="155" t="s">
        <v>7</v>
      </c>
      <c r="G34" s="42" t="s">
        <v>122</v>
      </c>
    </row>
    <row r="35" spans="2:16" x14ac:dyDescent="0.5">
      <c r="B35" s="42" t="str">
        <f>_xlfn.CONCAT(D35," en ",C35)</f>
        <v>Exótico en Togo</v>
      </c>
      <c r="C35" s="42" t="s">
        <v>247</v>
      </c>
      <c r="D35" s="42" t="s">
        <v>267</v>
      </c>
      <c r="E35" s="72">
        <v>70</v>
      </c>
      <c r="F35" s="156">
        <v>0</v>
      </c>
      <c r="G35" s="42" t="s">
        <v>10</v>
      </c>
    </row>
    <row r="36" spans="2:16" x14ac:dyDescent="0.5">
      <c r="B36" s="42" t="str">
        <f t="shared" ref="B36:B40" si="1">_xlfn.CONCAT(D36," en ",C36)</f>
        <v>Comida en Camerún</v>
      </c>
      <c r="C36" s="42" t="s">
        <v>248</v>
      </c>
      <c r="D36" s="42" t="s">
        <v>92</v>
      </c>
      <c r="E36" s="72">
        <v>65</v>
      </c>
      <c r="F36" s="156">
        <v>0</v>
      </c>
      <c r="G36" s="42" t="s">
        <v>10</v>
      </c>
    </row>
    <row r="37" spans="2:16" x14ac:dyDescent="0.5">
      <c r="B37" s="42" t="str">
        <f t="shared" si="1"/>
        <v>Exótico en África Este</v>
      </c>
      <c r="C37" s="42" t="s">
        <v>266</v>
      </c>
      <c r="D37" s="42" t="s">
        <v>267</v>
      </c>
      <c r="E37" s="72">
        <v>65</v>
      </c>
      <c r="F37" s="156">
        <v>0</v>
      </c>
      <c r="G37" s="42" t="s">
        <v>10</v>
      </c>
    </row>
    <row r="38" spans="2:16" s="192" customFormat="1" x14ac:dyDescent="0.5">
      <c r="B38" s="42" t="str">
        <f t="shared" si="1"/>
        <v>Hierro en China (Hebei)</v>
      </c>
      <c r="C38" s="42" t="s">
        <v>295</v>
      </c>
      <c r="D38" s="42" t="s">
        <v>96</v>
      </c>
      <c r="E38" s="72">
        <v>60</v>
      </c>
      <c r="F38" s="156">
        <v>0</v>
      </c>
      <c r="G38" s="42" t="s">
        <v>120</v>
      </c>
    </row>
    <row r="39" spans="2:16" s="183" customFormat="1" x14ac:dyDescent="0.5">
      <c r="B39" s="42" t="str">
        <f t="shared" si="1"/>
        <v>Hierro en Chile</v>
      </c>
      <c r="C39" s="42" t="s">
        <v>283</v>
      </c>
      <c r="D39" s="42" t="s">
        <v>96</v>
      </c>
      <c r="E39" s="72">
        <v>60</v>
      </c>
      <c r="F39" s="156">
        <v>0</v>
      </c>
      <c r="G39" s="42" t="s">
        <v>120</v>
      </c>
    </row>
    <row r="40" spans="2:16" x14ac:dyDescent="0.5">
      <c r="B40" s="42" t="str">
        <f t="shared" si="1"/>
        <v>Mat Prima en Camerún</v>
      </c>
      <c r="C40" s="42" t="s">
        <v>248</v>
      </c>
      <c r="D40" s="42" t="s">
        <v>278</v>
      </c>
      <c r="E40" s="72">
        <v>70</v>
      </c>
      <c r="F40" s="156">
        <v>0</v>
      </c>
      <c r="G40" s="42" t="s">
        <v>10</v>
      </c>
    </row>
    <row r="41" spans="2:16" x14ac:dyDescent="0.5">
      <c r="D41" s="264"/>
      <c r="E41" s="264"/>
      <c r="F41" s="13"/>
      <c r="G41" s="28"/>
    </row>
    <row r="42" spans="2:16" x14ac:dyDescent="0.5">
      <c r="D42" s="264"/>
      <c r="E42" s="264"/>
      <c r="F42" s="13"/>
      <c r="G42" s="28"/>
    </row>
    <row r="43" spans="2:16" x14ac:dyDescent="0.5">
      <c r="D43" s="264"/>
      <c r="E43" s="264"/>
      <c r="F43" s="13"/>
      <c r="G43" s="28"/>
    </row>
    <row r="44" spans="2:16" x14ac:dyDescent="0.5">
      <c r="D44" s="264"/>
      <c r="E44" s="264"/>
      <c r="F44" s="264"/>
      <c r="G44" s="14"/>
    </row>
    <row r="47" spans="2:16" x14ac:dyDescent="0.5">
      <c r="D47" s="264"/>
      <c r="E47" s="264"/>
      <c r="F47" s="264"/>
      <c r="G47" s="264"/>
      <c r="H47" s="264"/>
      <c r="I47" s="264"/>
      <c r="K47" s="264"/>
      <c r="L47" s="264"/>
      <c r="M47" s="264"/>
      <c r="N47" s="264"/>
      <c r="O47" s="264"/>
      <c r="P47" s="264"/>
    </row>
    <row r="51" spans="2:17" x14ac:dyDescent="0.5">
      <c r="D51" s="264"/>
      <c r="E51" s="264"/>
      <c r="F51" s="14"/>
      <c r="G51" s="28"/>
      <c r="I51" s="28"/>
    </row>
    <row r="52" spans="2:17" x14ac:dyDescent="0.5">
      <c r="D52" s="264"/>
      <c r="E52" s="264"/>
      <c r="F52" s="14"/>
      <c r="G52" s="28"/>
    </row>
    <row r="53" spans="2:17" x14ac:dyDescent="0.5">
      <c r="D53" s="264"/>
      <c r="E53" s="264"/>
      <c r="F53" s="14"/>
      <c r="G53" s="28"/>
    </row>
    <row r="54" spans="2:17" x14ac:dyDescent="0.5">
      <c r="D54" s="264"/>
      <c r="E54" s="264"/>
      <c r="F54" s="14"/>
      <c r="G54" s="28"/>
    </row>
    <row r="55" spans="2:17" x14ac:dyDescent="0.5">
      <c r="D55" s="264"/>
      <c r="E55" s="264"/>
      <c r="F55" s="13"/>
      <c r="G55" s="28"/>
      <c r="I55" s="28"/>
    </row>
    <row r="56" spans="2:17" x14ac:dyDescent="0.5">
      <c r="D56" s="264"/>
      <c r="E56" s="264"/>
      <c r="F56" s="13"/>
      <c r="G56" s="28"/>
    </row>
    <row r="57" spans="2:17" x14ac:dyDescent="0.5">
      <c r="D57" s="264"/>
      <c r="E57" s="264"/>
      <c r="F57" s="264"/>
      <c r="G57" s="14"/>
    </row>
    <row r="58" spans="2:17" x14ac:dyDescent="0.5">
      <c r="D58" s="28"/>
      <c r="G58" s="14"/>
      <c r="H58" s="28"/>
    </row>
    <row r="59" spans="2:17" ht="17.649999999999999" customHeight="1" x14ac:dyDescent="0.5">
      <c r="Q59" s="32"/>
    </row>
    <row r="60" spans="2:17" x14ac:dyDescent="0.5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2:17" x14ac:dyDescent="0.5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3" spans="2:17" x14ac:dyDescent="0.5">
      <c r="B63" s="28"/>
      <c r="E63" s="28"/>
    </row>
    <row r="64" spans="2:17" x14ac:dyDescent="0.5">
      <c r="C64" s="28"/>
    </row>
    <row r="65" spans="4:17" x14ac:dyDescent="0.5">
      <c r="D65" s="264"/>
      <c r="E65" s="264"/>
      <c r="F65" s="264"/>
      <c r="G65" s="264"/>
      <c r="H65" s="264"/>
      <c r="I65" s="264"/>
      <c r="K65" s="264"/>
      <c r="L65" s="264"/>
      <c r="M65" s="264"/>
      <c r="N65" s="264"/>
      <c r="O65" s="264"/>
      <c r="P65" s="264"/>
    </row>
    <row r="68" spans="4:17" x14ac:dyDescent="0.5">
      <c r="D68" s="28"/>
    </row>
    <row r="69" spans="4:17" x14ac:dyDescent="0.5">
      <c r="D69" s="264"/>
      <c r="E69" s="264"/>
      <c r="F69" s="14"/>
      <c r="G69" s="28"/>
    </row>
    <row r="70" spans="4:17" x14ac:dyDescent="0.5">
      <c r="D70" s="264"/>
      <c r="E70" s="264"/>
      <c r="F70" s="14"/>
    </row>
    <row r="71" spans="4:17" x14ac:dyDescent="0.5">
      <c r="D71" s="264"/>
      <c r="E71" s="264"/>
      <c r="F71" s="13"/>
    </row>
    <row r="72" spans="4:17" x14ac:dyDescent="0.5">
      <c r="D72" s="264"/>
      <c r="E72" s="264"/>
      <c r="F72" s="13"/>
    </row>
    <row r="73" spans="4:17" x14ac:dyDescent="0.5">
      <c r="D73" s="264"/>
      <c r="E73" s="264"/>
      <c r="F73" s="264"/>
      <c r="G73" s="14"/>
    </row>
    <row r="74" spans="4:17" ht="17.649999999999999" customHeight="1" x14ac:dyDescent="0.5">
      <c r="Q74" s="34"/>
    </row>
    <row r="75" spans="4:17" x14ac:dyDescent="0.5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4:17" x14ac:dyDescent="0.5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9" spans="4:17" x14ac:dyDescent="0.5">
      <c r="E79" s="14"/>
    </row>
    <row r="80" spans="4:17" x14ac:dyDescent="0.5">
      <c r="D80" s="264"/>
      <c r="E80" s="264"/>
      <c r="F80" s="264"/>
      <c r="G80" s="264"/>
      <c r="H80" s="264"/>
      <c r="I80" s="264"/>
      <c r="K80" s="264"/>
      <c r="L80" s="264"/>
      <c r="M80" s="264"/>
      <c r="N80" s="264"/>
      <c r="O80" s="264"/>
      <c r="P80" s="264"/>
    </row>
    <row r="84" spans="4:16" x14ac:dyDescent="0.5">
      <c r="D84" s="264"/>
      <c r="E84" s="264"/>
    </row>
    <row r="85" spans="4:16" x14ac:dyDescent="0.5">
      <c r="D85" s="264"/>
      <c r="E85" s="264"/>
      <c r="F85" s="14"/>
    </row>
    <row r="88" spans="4:16" x14ac:dyDescent="0.5">
      <c r="E88" s="14"/>
      <c r="F88" s="28"/>
      <c r="J88" s="28"/>
    </row>
    <row r="89" spans="4:16" x14ac:dyDescent="0.5">
      <c r="D89" s="264"/>
      <c r="E89" s="264"/>
      <c r="F89" s="264"/>
      <c r="G89" s="264"/>
      <c r="H89" s="264"/>
      <c r="I89" s="264"/>
      <c r="K89" s="264"/>
      <c r="L89" s="264"/>
      <c r="M89" s="264"/>
      <c r="N89" s="264"/>
      <c r="O89" s="264"/>
      <c r="P89" s="264"/>
    </row>
    <row r="93" spans="4:16" x14ac:dyDescent="0.5">
      <c r="D93" s="264"/>
      <c r="E93" s="264"/>
      <c r="F93" s="14"/>
      <c r="H93" s="28"/>
    </row>
    <row r="94" spans="4:16" x14ac:dyDescent="0.5">
      <c r="D94" s="264"/>
      <c r="E94" s="264"/>
      <c r="F94" s="14"/>
    </row>
    <row r="95" spans="4:16" x14ac:dyDescent="0.5">
      <c r="D95" s="264"/>
      <c r="E95" s="264"/>
      <c r="F95" s="13"/>
    </row>
    <row r="96" spans="4:16" x14ac:dyDescent="0.5">
      <c r="D96" s="264"/>
      <c r="E96" s="264"/>
      <c r="F96" s="264"/>
      <c r="G96" s="14"/>
    </row>
    <row r="97" spans="2:17" ht="18.75" customHeight="1" x14ac:dyDescent="0.5">
      <c r="Q97" s="34"/>
    </row>
    <row r="98" spans="2:17" x14ac:dyDescent="0.5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2:17" x14ac:dyDescent="0.5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2:17" x14ac:dyDescent="0.5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2" spans="2:17" x14ac:dyDescent="0.5">
      <c r="B102" s="28"/>
    </row>
    <row r="103" spans="2:17" x14ac:dyDescent="0.5">
      <c r="C103" s="28"/>
      <c r="I103" s="14"/>
    </row>
    <row r="105" spans="2:17" x14ac:dyDescent="0.5">
      <c r="E105" s="14"/>
      <c r="F105" s="28"/>
    </row>
    <row r="107" spans="2:17" x14ac:dyDescent="0.5">
      <c r="D107" s="264"/>
      <c r="E107" s="264"/>
      <c r="F107" s="14"/>
    </row>
    <row r="109" spans="2:17" x14ac:dyDescent="0.5">
      <c r="E109" s="14"/>
    </row>
    <row r="112" spans="2:17" x14ac:dyDescent="0.5">
      <c r="E112" s="14"/>
      <c r="F112" s="28"/>
    </row>
    <row r="113" spans="4:16" x14ac:dyDescent="0.5">
      <c r="D113" s="28"/>
    </row>
    <row r="114" spans="4:16" x14ac:dyDescent="0.5">
      <c r="D114" s="264"/>
      <c r="E114" s="264"/>
      <c r="F114" s="14"/>
      <c r="G114" s="28"/>
      <c r="I114" s="28"/>
    </row>
    <row r="115" spans="4:16" x14ac:dyDescent="0.5">
      <c r="D115" s="264"/>
      <c r="E115" s="264"/>
      <c r="F115" s="14"/>
      <c r="G115" s="28"/>
    </row>
    <row r="116" spans="4:16" x14ac:dyDescent="0.5">
      <c r="D116" s="264"/>
      <c r="E116" s="264"/>
      <c r="F116" s="14"/>
      <c r="G116" s="28"/>
    </row>
    <row r="117" spans="4:16" x14ac:dyDescent="0.5">
      <c r="D117" s="264"/>
      <c r="E117" s="264"/>
      <c r="F117" s="14"/>
      <c r="G117" s="14"/>
      <c r="I117" s="28"/>
    </row>
    <row r="118" spans="4:16" x14ac:dyDescent="0.5"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</row>
    <row r="119" spans="4:16" x14ac:dyDescent="0.5">
      <c r="E119" s="14"/>
      <c r="F119" s="28"/>
    </row>
    <row r="120" spans="4:16" x14ac:dyDescent="0.5">
      <c r="D120" s="264"/>
      <c r="E120" s="264"/>
    </row>
    <row r="121" spans="4:16" x14ac:dyDescent="0.5">
      <c r="D121" s="264"/>
      <c r="E121" s="264"/>
      <c r="F121" s="14"/>
      <c r="H121" s="28"/>
    </row>
    <row r="122" spans="4:16" x14ac:dyDescent="0.5">
      <c r="D122" s="264"/>
      <c r="E122" s="264"/>
      <c r="F122" s="264"/>
      <c r="G122" s="264"/>
      <c r="H122" s="264"/>
      <c r="I122" s="264"/>
      <c r="K122" s="264"/>
      <c r="L122" s="264"/>
      <c r="M122" s="264"/>
      <c r="N122" s="264"/>
      <c r="O122" s="264"/>
      <c r="P122" s="264"/>
    </row>
    <row r="125" spans="4:16" x14ac:dyDescent="0.5">
      <c r="G125" s="14"/>
    </row>
    <row r="126" spans="4:16" x14ac:dyDescent="0.5">
      <c r="G126" s="14"/>
    </row>
    <row r="127" spans="4:16" x14ac:dyDescent="0.5">
      <c r="E127" s="14"/>
      <c r="G127" s="14"/>
    </row>
    <row r="129" spans="2:7" x14ac:dyDescent="0.5">
      <c r="E129" s="14"/>
    </row>
    <row r="131" spans="2:7" x14ac:dyDescent="0.5">
      <c r="G131" s="14"/>
    </row>
    <row r="134" spans="2:7" x14ac:dyDescent="0.5">
      <c r="E134" s="14"/>
    </row>
    <row r="135" spans="2:7" x14ac:dyDescent="0.5">
      <c r="D135" s="264"/>
      <c r="E135" s="264"/>
    </row>
    <row r="136" spans="2:7" x14ac:dyDescent="0.5">
      <c r="D136" s="264"/>
      <c r="E136" s="264"/>
      <c r="F136" s="14"/>
    </row>
    <row r="138" spans="2:7" x14ac:dyDescent="0.5">
      <c r="B138" s="36"/>
    </row>
    <row r="139" spans="2:7" x14ac:dyDescent="0.5">
      <c r="B139" s="36"/>
      <c r="C139" s="36"/>
      <c r="F139" s="36"/>
    </row>
    <row r="140" spans="2:7" x14ac:dyDescent="0.5">
      <c r="B140" s="36"/>
      <c r="C140" s="36"/>
    </row>
    <row r="141" spans="2:7" x14ac:dyDescent="0.5">
      <c r="B141" s="36"/>
      <c r="C141" s="36"/>
    </row>
    <row r="142" spans="2:7" x14ac:dyDescent="0.5">
      <c r="B142" s="36"/>
      <c r="C142" s="36"/>
    </row>
    <row r="143" spans="2:7" x14ac:dyDescent="0.5">
      <c r="C143" s="36"/>
    </row>
    <row r="146" spans="2:16" x14ac:dyDescent="0.5">
      <c r="D146" s="28"/>
      <c r="K146" s="28"/>
    </row>
    <row r="147" spans="2:16" x14ac:dyDescent="0.5">
      <c r="B147" s="37"/>
      <c r="D147" s="264"/>
      <c r="E147" s="264"/>
      <c r="F147" s="264"/>
      <c r="G147" s="264"/>
      <c r="H147" s="264"/>
      <c r="I147" s="264"/>
      <c r="K147" s="264"/>
      <c r="L147" s="264"/>
      <c r="M147" s="264"/>
      <c r="N147" s="264"/>
      <c r="O147" s="264"/>
      <c r="P147" s="264"/>
    </row>
    <row r="148" spans="2:16" x14ac:dyDescent="0.5">
      <c r="C148" s="37"/>
    </row>
    <row r="152" spans="2:16" x14ac:dyDescent="0.5">
      <c r="D152" s="264"/>
      <c r="E152" s="264"/>
      <c r="F152" s="264"/>
      <c r="G152" s="264"/>
      <c r="H152" s="264"/>
      <c r="I152" s="264"/>
      <c r="K152" s="264"/>
      <c r="L152" s="264"/>
      <c r="M152" s="264"/>
      <c r="N152" s="264"/>
      <c r="O152" s="264"/>
      <c r="P152" s="264"/>
    </row>
    <row r="155" spans="2:16" x14ac:dyDescent="0.5">
      <c r="B155" s="28"/>
    </row>
    <row r="156" spans="2:16" x14ac:dyDescent="0.5">
      <c r="C156" s="28"/>
      <c r="D156" s="28"/>
      <c r="F156" s="38"/>
    </row>
    <row r="158" spans="2:16" x14ac:dyDescent="0.5"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2:16" x14ac:dyDescent="0.5">
      <c r="D159" s="264"/>
      <c r="E159" s="264"/>
      <c r="F159" s="264"/>
      <c r="G159" s="264"/>
      <c r="H159" s="264"/>
      <c r="I159" s="264"/>
      <c r="K159" s="264"/>
      <c r="L159" s="264"/>
      <c r="M159" s="264"/>
      <c r="N159" s="264"/>
      <c r="O159" s="264"/>
      <c r="P159" s="264"/>
    </row>
    <row r="163" spans="5:6" x14ac:dyDescent="0.5">
      <c r="E163" s="14"/>
      <c r="F163" s="28"/>
    </row>
  </sheetData>
  <sheetProtection algorithmName="SHA-512" hashValue="jwXA69S0iCMFMqKrldr182ZxEMWFtkk1cW84Bti/eaakvsSlhGTjiClQOiz6/XX6+GPW4OuVSyBVp+pGjlQrpA==" saltValue="P56Vts6rlE3rJawO8LSewA==" spinCount="100000" sheet="1" objects="1" scenarios="1"/>
  <mergeCells count="55">
    <mergeCell ref="D135:E135"/>
    <mergeCell ref="D121:E121"/>
    <mergeCell ref="D122:I122"/>
    <mergeCell ref="D152:I152"/>
    <mergeCell ref="K152:P152"/>
    <mergeCell ref="D147:I147"/>
    <mergeCell ref="K147:P147"/>
    <mergeCell ref="D136:E136"/>
    <mergeCell ref="D80:I80"/>
    <mergeCell ref="D115:E115"/>
    <mergeCell ref="D118:P118"/>
    <mergeCell ref="D116:E116"/>
    <mergeCell ref="D117:E117"/>
    <mergeCell ref="K80:P80"/>
    <mergeCell ref="D85:E85"/>
    <mergeCell ref="D84:E84"/>
    <mergeCell ref="D96:F96"/>
    <mergeCell ref="D89:I89"/>
    <mergeCell ref="K89:P89"/>
    <mergeCell ref="D93:E93"/>
    <mergeCell ref="D94:E94"/>
    <mergeCell ref="D95:E95"/>
    <mergeCell ref="D54:E54"/>
    <mergeCell ref="D72:E72"/>
    <mergeCell ref="D73:F73"/>
    <mergeCell ref="D55:E55"/>
    <mergeCell ref="D56:E56"/>
    <mergeCell ref="D57:F57"/>
    <mergeCell ref="D65:I65"/>
    <mergeCell ref="B1:P1"/>
    <mergeCell ref="K9:P9"/>
    <mergeCell ref="D41:E41"/>
    <mergeCell ref="D43:E43"/>
    <mergeCell ref="B5:B6"/>
    <mergeCell ref="K5:P5"/>
    <mergeCell ref="D42:E42"/>
    <mergeCell ref="C5:I5"/>
    <mergeCell ref="C9:H9"/>
    <mergeCell ref="B33:G33"/>
    <mergeCell ref="D159:I159"/>
    <mergeCell ref="K159:P159"/>
    <mergeCell ref="K122:P122"/>
    <mergeCell ref="D44:F44"/>
    <mergeCell ref="D47:I47"/>
    <mergeCell ref="K47:P47"/>
    <mergeCell ref="D51:E51"/>
    <mergeCell ref="K65:P65"/>
    <mergeCell ref="D69:E69"/>
    <mergeCell ref="D70:E70"/>
    <mergeCell ref="D71:E71"/>
    <mergeCell ref="D53:E53"/>
    <mergeCell ref="D107:E107"/>
    <mergeCell ref="D120:E120"/>
    <mergeCell ref="D114:E114"/>
    <mergeCell ref="D52:E5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0D65-F908-42C6-A226-F14DF877A3E4}">
  <dimension ref="A1:I36"/>
  <sheetViews>
    <sheetView showGridLines="0" workbookViewId="0">
      <selection activeCell="G12" sqref="G12"/>
    </sheetView>
  </sheetViews>
  <sheetFormatPr defaultColWidth="9.1328125" defaultRowHeight="12.75" x14ac:dyDescent="0.35"/>
  <cols>
    <col min="4" max="4" width="10.796875" bestFit="1" customWidth="1"/>
    <col min="5" max="5" width="10.796875" style="26" customWidth="1"/>
    <col min="7" max="7" width="29.1328125" bestFit="1" customWidth="1"/>
  </cols>
  <sheetData>
    <row r="1" spans="1:9" x14ac:dyDescent="0.35">
      <c r="C1" s="75" t="s">
        <v>2</v>
      </c>
      <c r="D1" s="73">
        <f>SUM(D4:D46)</f>
        <v>21</v>
      </c>
      <c r="E1" s="184"/>
    </row>
    <row r="2" spans="1:9" s="26" customFormat="1" ht="13.15" thickBot="1" x14ac:dyDescent="0.4"/>
    <row r="3" spans="1:9" s="26" customFormat="1" x14ac:dyDescent="0.35">
      <c r="A3" s="282" t="s">
        <v>231</v>
      </c>
      <c r="B3" s="283"/>
      <c r="C3" s="283"/>
      <c r="D3" s="283"/>
      <c r="E3" s="284"/>
      <c r="G3" s="279" t="s">
        <v>232</v>
      </c>
      <c r="H3" s="280"/>
      <c r="I3" s="281"/>
    </row>
    <row r="4" spans="1:9" x14ac:dyDescent="0.35">
      <c r="A4" s="275" t="s">
        <v>226</v>
      </c>
      <c r="B4" s="276"/>
      <c r="C4" s="276"/>
      <c r="D4" s="73" t="s">
        <v>227</v>
      </c>
      <c r="E4" s="185" t="s">
        <v>284</v>
      </c>
      <c r="G4" s="78" t="s">
        <v>226</v>
      </c>
      <c r="H4" s="76" t="s">
        <v>117</v>
      </c>
      <c r="I4" s="79" t="s">
        <v>123</v>
      </c>
    </row>
    <row r="5" spans="1:9" x14ac:dyDescent="0.35">
      <c r="A5" s="275" t="s">
        <v>270</v>
      </c>
      <c r="B5" s="276"/>
      <c r="C5" s="276"/>
      <c r="D5" s="73">
        <v>0</v>
      </c>
      <c r="E5" s="186">
        <v>1892</v>
      </c>
      <c r="G5" s="78" t="s">
        <v>268</v>
      </c>
      <c r="H5" s="77">
        <v>45</v>
      </c>
      <c r="I5" s="79">
        <v>2</v>
      </c>
    </row>
    <row r="6" spans="1:9" x14ac:dyDescent="0.35">
      <c r="A6" s="275" t="s">
        <v>277</v>
      </c>
      <c r="B6" s="276"/>
      <c r="C6" s="276"/>
      <c r="D6" s="74">
        <v>12</v>
      </c>
      <c r="E6" s="186">
        <v>1894</v>
      </c>
      <c r="G6" s="78" t="s">
        <v>269</v>
      </c>
      <c r="H6" s="77">
        <v>35</v>
      </c>
      <c r="I6" s="79">
        <v>3</v>
      </c>
    </row>
    <row r="7" spans="1:9" x14ac:dyDescent="0.35">
      <c r="A7" s="275" t="s">
        <v>285</v>
      </c>
      <c r="B7" s="276"/>
      <c r="C7" s="276"/>
      <c r="D7" s="73">
        <v>0</v>
      </c>
      <c r="E7" s="186">
        <v>1895</v>
      </c>
      <c r="G7" s="193" t="s">
        <v>291</v>
      </c>
      <c r="H7" s="77">
        <v>50</v>
      </c>
      <c r="I7" s="79">
        <v>1</v>
      </c>
    </row>
    <row r="8" spans="1:9" x14ac:dyDescent="0.35">
      <c r="A8" s="275" t="s">
        <v>294</v>
      </c>
      <c r="B8" s="276"/>
      <c r="C8" s="276"/>
      <c r="D8" s="74">
        <v>9</v>
      </c>
      <c r="E8" s="186">
        <v>1895</v>
      </c>
      <c r="G8" s="78" t="s">
        <v>296</v>
      </c>
      <c r="H8" s="77">
        <v>50</v>
      </c>
      <c r="I8" s="79">
        <v>1</v>
      </c>
    </row>
    <row r="9" spans="1:9" x14ac:dyDescent="0.35">
      <c r="A9" s="275"/>
      <c r="B9" s="276"/>
      <c r="C9" s="276"/>
      <c r="D9" s="73"/>
      <c r="E9" s="186"/>
      <c r="G9" s="78" t="s">
        <v>299</v>
      </c>
      <c r="H9" s="77">
        <v>65</v>
      </c>
      <c r="I9" s="79">
        <v>2</v>
      </c>
    </row>
    <row r="10" spans="1:9" x14ac:dyDescent="0.35">
      <c r="A10" s="275"/>
      <c r="B10" s="276"/>
      <c r="C10" s="276"/>
      <c r="D10" s="74"/>
      <c r="E10" s="186"/>
      <c r="G10" s="78" t="s">
        <v>300</v>
      </c>
      <c r="H10" s="77">
        <v>65</v>
      </c>
      <c r="I10" s="79">
        <v>2</v>
      </c>
    </row>
    <row r="11" spans="1:9" x14ac:dyDescent="0.35">
      <c r="A11" s="275"/>
      <c r="B11" s="276"/>
      <c r="C11" s="276"/>
      <c r="D11" s="73"/>
      <c r="E11" s="186"/>
      <c r="G11" s="78"/>
      <c r="H11" s="77"/>
      <c r="I11" s="79"/>
    </row>
    <row r="12" spans="1:9" x14ac:dyDescent="0.35">
      <c r="A12" s="275"/>
      <c r="B12" s="276"/>
      <c r="C12" s="276"/>
      <c r="D12" s="73"/>
      <c r="E12" s="186"/>
      <c r="G12" s="78"/>
      <c r="H12" s="77"/>
      <c r="I12" s="79"/>
    </row>
    <row r="13" spans="1:9" x14ac:dyDescent="0.35">
      <c r="A13" s="275"/>
      <c r="B13" s="276"/>
      <c r="C13" s="276"/>
      <c r="D13" s="73"/>
      <c r="E13" s="186"/>
      <c r="G13" s="78"/>
      <c r="H13" s="77"/>
      <c r="I13" s="79"/>
    </row>
    <row r="14" spans="1:9" ht="13.15" thickBot="1" x14ac:dyDescent="0.4">
      <c r="A14" s="277"/>
      <c r="B14" s="278"/>
      <c r="C14" s="278"/>
      <c r="D14" s="187"/>
      <c r="E14" s="188"/>
      <c r="G14" s="80"/>
      <c r="H14" s="175"/>
      <c r="I14" s="81"/>
    </row>
    <row r="15" spans="1:9" x14ac:dyDescent="0.35">
      <c r="D15" s="27"/>
      <c r="E15" s="27"/>
    </row>
    <row r="16" spans="1:9" x14ac:dyDescent="0.35">
      <c r="D16" s="27"/>
      <c r="E16" s="27"/>
    </row>
    <row r="17" spans="4:5" x14ac:dyDescent="0.35">
      <c r="D17" s="27"/>
      <c r="E17" s="27"/>
    </row>
    <row r="18" spans="4:5" x14ac:dyDescent="0.35">
      <c r="D18" s="27"/>
      <c r="E18" s="27"/>
    </row>
    <row r="19" spans="4:5" x14ac:dyDescent="0.35">
      <c r="D19" s="27"/>
      <c r="E19" s="27"/>
    </row>
    <row r="20" spans="4:5" x14ac:dyDescent="0.35">
      <c r="D20" s="27"/>
      <c r="E20" s="27"/>
    </row>
    <row r="21" spans="4:5" x14ac:dyDescent="0.35">
      <c r="D21" s="27"/>
      <c r="E21" s="27"/>
    </row>
    <row r="22" spans="4:5" x14ac:dyDescent="0.35">
      <c r="D22" s="27"/>
      <c r="E22" s="27"/>
    </row>
    <row r="23" spans="4:5" x14ac:dyDescent="0.35">
      <c r="D23" s="27"/>
      <c r="E23" s="27"/>
    </row>
    <row r="24" spans="4:5" x14ac:dyDescent="0.35">
      <c r="D24" s="27"/>
      <c r="E24" s="27"/>
    </row>
    <row r="25" spans="4:5" x14ac:dyDescent="0.35">
      <c r="D25" s="27"/>
      <c r="E25" s="27"/>
    </row>
    <row r="26" spans="4:5" x14ac:dyDescent="0.35">
      <c r="D26" s="27"/>
      <c r="E26" s="27"/>
    </row>
    <row r="27" spans="4:5" x14ac:dyDescent="0.35">
      <c r="D27" s="27"/>
      <c r="E27" s="27"/>
    </row>
    <row r="28" spans="4:5" x14ac:dyDescent="0.35">
      <c r="D28" s="27"/>
      <c r="E28" s="27"/>
    </row>
    <row r="29" spans="4:5" x14ac:dyDescent="0.35">
      <c r="D29" s="27"/>
      <c r="E29" s="27"/>
    </row>
    <row r="30" spans="4:5" x14ac:dyDescent="0.35">
      <c r="D30" s="27"/>
      <c r="E30" s="27"/>
    </row>
    <row r="31" spans="4:5" x14ac:dyDescent="0.35">
      <c r="D31" s="27"/>
      <c r="E31" s="27"/>
    </row>
    <row r="32" spans="4:5" x14ac:dyDescent="0.35">
      <c r="D32" s="27"/>
      <c r="E32" s="27"/>
    </row>
    <row r="33" spans="4:5" x14ac:dyDescent="0.35">
      <c r="D33" s="27"/>
      <c r="E33" s="27"/>
    </row>
    <row r="34" spans="4:5" x14ac:dyDescent="0.35">
      <c r="D34" s="27"/>
      <c r="E34" s="27"/>
    </row>
    <row r="35" spans="4:5" x14ac:dyDescent="0.35">
      <c r="D35" s="27"/>
      <c r="E35" s="27"/>
    </row>
    <row r="36" spans="4:5" x14ac:dyDescent="0.35">
      <c r="D36" s="27"/>
      <c r="E36" s="27"/>
    </row>
  </sheetData>
  <sheetProtection algorithmName="SHA-512" hashValue="WeOakRsQOlmqqZdXE3jJ8j4zh2g3yvmE6okfCS20NGBgNFu3i77UxlgNHBFHqGakt4n3cqqNdUCN4s2hLF86uQ==" saltValue="6IOTHmASV4Wx0cAk6rdJEg==" spinCount="100000" sheet="1" objects="1" scenarios="1"/>
  <mergeCells count="13">
    <mergeCell ref="G3:I3"/>
    <mergeCell ref="A10:C10"/>
    <mergeCell ref="A11:C11"/>
    <mergeCell ref="A12:C12"/>
    <mergeCell ref="A3:E3"/>
    <mergeCell ref="A13:C13"/>
    <mergeCell ref="A14:C14"/>
    <mergeCell ref="A4:C4"/>
    <mergeCell ref="A5:C5"/>
    <mergeCell ref="A6:C6"/>
    <mergeCell ref="A7:C7"/>
    <mergeCell ref="A8:C8"/>
    <mergeCell ref="A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6"/>
  <sheetViews>
    <sheetView topLeftCell="A3" workbookViewId="0">
      <selection activeCell="D15" sqref="D15"/>
    </sheetView>
  </sheetViews>
  <sheetFormatPr defaultColWidth="9.1328125" defaultRowHeight="17.649999999999999" x14ac:dyDescent="0.5"/>
  <cols>
    <col min="1" max="1" width="9.1328125" style="1"/>
    <col min="2" max="2" width="13" style="1" customWidth="1"/>
    <col min="3" max="3" width="11" style="1" customWidth="1"/>
    <col min="4" max="9" width="9.1328125" style="1"/>
    <col min="10" max="10" width="12.6640625" style="1" customWidth="1"/>
    <col min="11" max="12" width="9.1328125" style="1"/>
    <col min="13" max="13" width="9.53125" style="1" customWidth="1"/>
    <col min="14" max="14" width="9.1328125" style="1"/>
    <col min="15" max="15" width="10.86328125" style="1" customWidth="1"/>
    <col min="16" max="16" width="14.33203125" style="1" customWidth="1"/>
    <col min="17" max="17" width="10.6640625" style="1" bestFit="1" customWidth="1"/>
    <col min="18" max="19" width="9.1328125" style="1"/>
    <col min="20" max="20" width="11.33203125" style="1" customWidth="1"/>
    <col min="21" max="16384" width="9.1328125" style="1"/>
  </cols>
  <sheetData>
    <row r="1" spans="1:21" x14ac:dyDescent="0.5">
      <c r="D1" s="1" t="s">
        <v>25</v>
      </c>
      <c r="I1" s="285" t="s">
        <v>26</v>
      </c>
      <c r="P1" s="285" t="s">
        <v>29</v>
      </c>
      <c r="Q1" s="285" t="s">
        <v>30</v>
      </c>
    </row>
    <row r="2" spans="1:21" x14ac:dyDescent="0.5">
      <c r="I2" s="285"/>
      <c r="J2" s="1" t="s">
        <v>16</v>
      </c>
      <c r="K2" s="1" t="s">
        <v>17</v>
      </c>
      <c r="L2" s="1" t="s">
        <v>18</v>
      </c>
      <c r="M2" s="1" t="s">
        <v>19</v>
      </c>
      <c r="N2" s="1" t="s">
        <v>27</v>
      </c>
      <c r="O2" s="1" t="s">
        <v>28</v>
      </c>
      <c r="P2" s="285"/>
      <c r="Q2" s="285"/>
      <c r="T2" s="1" t="s">
        <v>42</v>
      </c>
    </row>
    <row r="3" spans="1:21" x14ac:dyDescent="0.5">
      <c r="B3" s="1" t="s">
        <v>9</v>
      </c>
      <c r="D3" s="1" t="s">
        <v>8</v>
      </c>
      <c r="I3" s="1" t="s">
        <v>12</v>
      </c>
      <c r="J3" s="1">
        <f>IF(Econ!C137&gt;0,(VLOOKUP(Econ!D137,Land_Builds,2)*Econ!C137),0)</f>
        <v>0</v>
      </c>
      <c r="K3" s="1">
        <f>IF(Econ!E137&gt;0,(VLOOKUP(Econ!F137,Land_Builds,3)*Econ!E137),0)</f>
        <v>0</v>
      </c>
      <c r="L3" s="1">
        <f>IF(Econ!G137&gt;0,(VLOOKUP(Econ!H137,Land_Builds,4)*Econ!G137),0)</f>
        <v>0</v>
      </c>
      <c r="M3" s="1">
        <f>IF(Econ!I137&gt;0,(VLOOKUP(Econ!J137,Land_Builds,5)*Econ!I137),0)</f>
        <v>0</v>
      </c>
      <c r="N3" s="1">
        <f>COUNTIFS(J3:M3,"&gt;0")</f>
        <v>0</v>
      </c>
      <c r="O3" s="1">
        <f>IF(N3&gt;0,N3-1,0)</f>
        <v>0</v>
      </c>
      <c r="P3" s="2">
        <f>O3*5</f>
        <v>0</v>
      </c>
      <c r="Q3" s="2">
        <f>J3+K3+L3+M3+P3</f>
        <v>0</v>
      </c>
    </row>
    <row r="4" spans="1:21" x14ac:dyDescent="0.5">
      <c r="D4" s="1" t="s">
        <v>20</v>
      </c>
      <c r="I4" s="1" t="s">
        <v>13</v>
      </c>
      <c r="J4" s="1">
        <f>IF(Econ!C138&gt;0,(VLOOKUP(Econ!D138,Land_Builds,2)*Econ!C138),0)</f>
        <v>0</v>
      </c>
      <c r="K4" s="1">
        <f>IF(Econ!E138&gt;0,(VLOOKUP(Econ!F138,Land_Builds,3)*Econ!E138),0)</f>
        <v>0</v>
      </c>
      <c r="L4" s="1">
        <f>IF(Econ!G138&gt;0,(VLOOKUP(Econ!H138,Land_Builds,4)*Econ!G138),0)</f>
        <v>0</v>
      </c>
      <c r="M4" s="1">
        <f>IF(Econ!I138&gt;0,(VLOOKUP(Econ!J138,Land_Builds,5)*Econ!I138),0)</f>
        <v>0</v>
      </c>
      <c r="N4" s="1">
        <f t="shared" ref="N4:N6" si="0">COUNTIFS(J4:M4,"&gt;0")</f>
        <v>0</v>
      </c>
      <c r="O4" s="1">
        <f t="shared" ref="O4:O6" si="1">IF(N4&gt;0,N4-1,0)</f>
        <v>0</v>
      </c>
      <c r="P4" s="2">
        <f t="shared" ref="P4:P6" si="2">O4*5</f>
        <v>0</v>
      </c>
      <c r="Q4" s="2">
        <f t="shared" ref="Q4:Q6" si="3">J4+K4+L4+M4+P4</f>
        <v>0</v>
      </c>
      <c r="T4" s="1" t="s">
        <v>182</v>
      </c>
      <c r="U4" s="2">
        <v>20</v>
      </c>
    </row>
    <row r="5" spans="1:21" x14ac:dyDescent="0.5">
      <c r="B5" s="1" t="s">
        <v>10</v>
      </c>
      <c r="D5" s="1" t="s">
        <v>21</v>
      </c>
      <c r="I5" s="1" t="s">
        <v>14</v>
      </c>
      <c r="J5" s="1">
        <f>IF(Econ!C139&gt;0,(VLOOKUP(Econ!D139,Land_Builds,2)*Econ!C139),0)</f>
        <v>0</v>
      </c>
      <c r="K5" s="1">
        <f>IF(Econ!E139&gt;0,(VLOOKUP(Econ!F139,Land_Builds,3)*Econ!E139),0)</f>
        <v>0</v>
      </c>
      <c r="L5" s="1">
        <f>IF(Econ!G139&gt;0,(VLOOKUP(Econ!H139,Land_Builds,4)*Econ!G139),0)</f>
        <v>0</v>
      </c>
      <c r="M5" s="1">
        <f>IF(Econ!I139&gt;0,(VLOOKUP(Econ!J139,Land_Builds,5)*Econ!I139),0)</f>
        <v>0</v>
      </c>
      <c r="N5" s="1">
        <f t="shared" si="0"/>
        <v>0</v>
      </c>
      <c r="O5" s="1">
        <f t="shared" si="1"/>
        <v>0</v>
      </c>
      <c r="P5" s="2">
        <f t="shared" si="2"/>
        <v>0</v>
      </c>
      <c r="Q5" s="2">
        <f t="shared" si="3"/>
        <v>0</v>
      </c>
      <c r="T5" s="1" t="s">
        <v>183</v>
      </c>
      <c r="U5" s="2">
        <v>30</v>
      </c>
    </row>
    <row r="6" spans="1:21" x14ac:dyDescent="0.5">
      <c r="B6" s="1" t="s">
        <v>120</v>
      </c>
      <c r="D6" s="1" t="s">
        <v>22</v>
      </c>
      <c r="I6" s="1" t="s">
        <v>15</v>
      </c>
      <c r="J6" s="1">
        <f>IF(Econ!C140&gt;0,(VLOOKUP(Econ!D140,Land_Builds,2)*Econ!C140),0)</f>
        <v>0</v>
      </c>
      <c r="K6" s="1">
        <f>IF(Econ!E140&gt;0,(VLOOKUP(Econ!F140,Land_Builds,3)*Econ!E140),0)</f>
        <v>0</v>
      </c>
      <c r="L6" s="1">
        <f>IF(Econ!G140&gt;0,(VLOOKUP(Econ!H140,Land_Builds,4)*Econ!G140),0)</f>
        <v>0</v>
      </c>
      <c r="M6" s="1">
        <f>IF(Econ!I140&gt;0,(VLOOKUP(Econ!J140,Land_Builds,5)*Econ!I140),0)</f>
        <v>0</v>
      </c>
      <c r="N6" s="1">
        <f t="shared" si="0"/>
        <v>0</v>
      </c>
      <c r="O6" s="1">
        <f t="shared" si="1"/>
        <v>0</v>
      </c>
      <c r="P6" s="2">
        <f t="shared" si="2"/>
        <v>0</v>
      </c>
      <c r="Q6" s="2">
        <f t="shared" si="3"/>
        <v>0</v>
      </c>
      <c r="T6" s="1" t="s">
        <v>184</v>
      </c>
      <c r="U6" s="2">
        <v>20</v>
      </c>
    </row>
    <row r="7" spans="1:21" x14ac:dyDescent="0.5">
      <c r="D7" s="1" t="s">
        <v>23</v>
      </c>
      <c r="T7" s="1" t="s">
        <v>185</v>
      </c>
      <c r="U7" s="2">
        <v>5</v>
      </c>
    </row>
    <row r="8" spans="1:21" x14ac:dyDescent="0.5">
      <c r="D8" s="1" t="s">
        <v>24</v>
      </c>
    </row>
    <row r="9" spans="1:21" x14ac:dyDescent="0.5">
      <c r="I9" s="1" t="s">
        <v>6</v>
      </c>
    </row>
    <row r="10" spans="1:21" x14ac:dyDescent="0.5">
      <c r="I10" s="1" t="s">
        <v>6</v>
      </c>
      <c r="J10" s="1" t="s">
        <v>6</v>
      </c>
      <c r="K10" s="1" t="s">
        <v>6</v>
      </c>
      <c r="L10" s="1" t="s">
        <v>6</v>
      </c>
    </row>
    <row r="11" spans="1:21" x14ac:dyDescent="0.5">
      <c r="B11" s="5" t="s">
        <v>11</v>
      </c>
      <c r="J11" s="286" t="s">
        <v>45</v>
      </c>
      <c r="K11" s="286"/>
      <c r="L11" s="286"/>
      <c r="M11" s="286"/>
      <c r="N11" s="286"/>
      <c r="Q11" s="1" t="s">
        <v>47</v>
      </c>
    </row>
    <row r="12" spans="1:21" x14ac:dyDescent="0.5">
      <c r="B12" s="1" t="s">
        <v>25</v>
      </c>
      <c r="C12" s="1" t="s">
        <v>16</v>
      </c>
      <c r="D12" s="1" t="s">
        <v>17</v>
      </c>
      <c r="E12" s="1" t="s">
        <v>18</v>
      </c>
      <c r="F12" s="1" t="s">
        <v>19</v>
      </c>
      <c r="I12" s="1" t="s">
        <v>6</v>
      </c>
      <c r="K12" s="1" t="s">
        <v>4</v>
      </c>
      <c r="L12" s="1" t="s">
        <v>0</v>
      </c>
      <c r="M12" s="1" t="s">
        <v>1</v>
      </c>
      <c r="N12" s="1" t="s">
        <v>46</v>
      </c>
      <c r="P12" s="1" t="s">
        <v>48</v>
      </c>
      <c r="Q12" s="1">
        <f>ROUNDUP(Econ!B4,0)</f>
        <v>47</v>
      </c>
    </row>
    <row r="13" spans="1:21" x14ac:dyDescent="0.5">
      <c r="A13" s="1" t="s">
        <v>6</v>
      </c>
      <c r="B13" s="1" t="s">
        <v>8</v>
      </c>
      <c r="C13" s="1">
        <v>4</v>
      </c>
      <c r="D13" s="1">
        <v>4</v>
      </c>
      <c r="E13" s="1">
        <v>8</v>
      </c>
      <c r="F13" s="1">
        <v>18</v>
      </c>
      <c r="J13" s="29" t="s">
        <v>71</v>
      </c>
      <c r="K13" s="9">
        <v>4.5</v>
      </c>
      <c r="L13" s="8">
        <v>2</v>
      </c>
      <c r="M13" s="1">
        <v>5</v>
      </c>
      <c r="N13" s="9">
        <v>13.5</v>
      </c>
      <c r="P13" s="1" t="s">
        <v>49</v>
      </c>
      <c r="Q13" s="1">
        <f>Militar!B25+Militar!D25+Militar!H25+Militar!J25</f>
        <v>69</v>
      </c>
    </row>
    <row r="14" spans="1:21" x14ac:dyDescent="0.5">
      <c r="B14" s="1" t="s">
        <v>20</v>
      </c>
      <c r="C14" s="1">
        <v>4</v>
      </c>
      <c r="D14" s="1">
        <v>4</v>
      </c>
      <c r="E14" s="1">
        <v>7</v>
      </c>
      <c r="F14" s="1">
        <v>16</v>
      </c>
      <c r="J14" s="29" t="s">
        <v>68</v>
      </c>
      <c r="K14" s="9">
        <v>8</v>
      </c>
      <c r="L14" s="8">
        <v>3</v>
      </c>
      <c r="M14" s="1">
        <v>10</v>
      </c>
      <c r="N14" s="9">
        <v>3.5</v>
      </c>
      <c r="P14" s="4">
        <v>1.5</v>
      </c>
      <c r="Q14" s="1">
        <f>Q12*1.5</f>
        <v>70.5</v>
      </c>
    </row>
    <row r="15" spans="1:21" x14ac:dyDescent="0.5">
      <c r="B15" s="1" t="s">
        <v>21</v>
      </c>
      <c r="C15" s="1">
        <v>3</v>
      </c>
      <c r="D15" s="1">
        <v>3</v>
      </c>
      <c r="E15" s="1">
        <v>6</v>
      </c>
      <c r="F15" s="1">
        <v>14</v>
      </c>
      <c r="J15" s="29" t="s">
        <v>66</v>
      </c>
      <c r="K15" s="9">
        <v>7.5</v>
      </c>
      <c r="L15" s="8">
        <v>2.75</v>
      </c>
      <c r="M15" s="1">
        <v>10</v>
      </c>
      <c r="N15" s="9">
        <v>5</v>
      </c>
      <c r="P15" s="1" t="s">
        <v>50</v>
      </c>
      <c r="Q15" s="1">
        <f>IF(Militar!B29="Yes",5,0)</f>
        <v>0</v>
      </c>
    </row>
    <row r="16" spans="1:21" x14ac:dyDescent="0.5">
      <c r="B16" s="1" t="s">
        <v>22</v>
      </c>
      <c r="C16" s="1">
        <v>3</v>
      </c>
      <c r="D16" s="1">
        <v>3</v>
      </c>
      <c r="E16" s="1">
        <v>6</v>
      </c>
      <c r="F16" s="1">
        <v>12</v>
      </c>
      <c r="J16" s="29" t="s">
        <v>44</v>
      </c>
      <c r="K16" s="9">
        <v>6</v>
      </c>
      <c r="L16" s="8">
        <v>2.5</v>
      </c>
      <c r="M16" s="1">
        <v>7</v>
      </c>
      <c r="N16" s="9">
        <v>8</v>
      </c>
      <c r="P16" s="25" t="s">
        <v>51</v>
      </c>
      <c r="Q16" s="25">
        <f>IF(Q13&gt;Q14,5,0)</f>
        <v>0</v>
      </c>
      <c r="R16" s="25">
        <f>IF(Q13&lt;Q12,-5,0)</f>
        <v>0</v>
      </c>
      <c r="S16" s="25">
        <f>IF(Q13&gt;(Q12*2),5,0)</f>
        <v>0</v>
      </c>
    </row>
    <row r="17" spans="2:19" x14ac:dyDescent="0.5">
      <c r="B17" s="1" t="s">
        <v>23</v>
      </c>
      <c r="C17" s="1">
        <v>3</v>
      </c>
      <c r="D17" s="1">
        <v>3</v>
      </c>
      <c r="E17" s="1">
        <v>6</v>
      </c>
      <c r="F17" s="1">
        <v>12</v>
      </c>
      <c r="J17" s="29" t="s">
        <v>69</v>
      </c>
      <c r="K17" s="9">
        <v>5.5</v>
      </c>
      <c r="L17" s="8">
        <v>2.25</v>
      </c>
      <c r="M17" s="1">
        <v>6</v>
      </c>
      <c r="N17" s="9">
        <v>9.5</v>
      </c>
      <c r="P17" s="25" t="s">
        <v>52</v>
      </c>
      <c r="Q17" s="25">
        <f>10+Q15+Q16+R16</f>
        <v>10</v>
      </c>
      <c r="R17" s="25"/>
      <c r="S17" s="25"/>
    </row>
    <row r="18" spans="2:19" x14ac:dyDescent="0.5">
      <c r="B18" s="1" t="s">
        <v>24</v>
      </c>
      <c r="C18" s="1">
        <v>3</v>
      </c>
      <c r="D18" s="1">
        <v>3</v>
      </c>
      <c r="E18" s="1">
        <v>6</v>
      </c>
      <c r="F18" s="1">
        <v>12</v>
      </c>
      <c r="J18" s="29" t="s">
        <v>67</v>
      </c>
      <c r="K18" s="9">
        <v>7</v>
      </c>
      <c r="L18" s="8">
        <v>2.75</v>
      </c>
      <c r="M18" s="1">
        <v>9</v>
      </c>
      <c r="N18" s="9">
        <v>6.5</v>
      </c>
      <c r="P18" s="25" t="s">
        <v>53</v>
      </c>
      <c r="Q18" s="25">
        <f>10+Q15+R16+S16</f>
        <v>10</v>
      </c>
      <c r="R18" s="25"/>
      <c r="S18" s="25"/>
    </row>
    <row r="19" spans="2:19" x14ac:dyDescent="0.5">
      <c r="J19" s="29" t="s">
        <v>70</v>
      </c>
      <c r="K19" s="9">
        <v>5</v>
      </c>
      <c r="L19" s="8">
        <v>2.25</v>
      </c>
      <c r="M19" s="1">
        <v>5</v>
      </c>
      <c r="N19" s="9">
        <v>11.5</v>
      </c>
    </row>
    <row r="21" spans="2:19" x14ac:dyDescent="0.5">
      <c r="B21" s="5" t="s">
        <v>31</v>
      </c>
    </row>
    <row r="22" spans="2:19" x14ac:dyDescent="0.5">
      <c r="B22" s="1" t="s">
        <v>25</v>
      </c>
      <c r="C22" s="1" t="s">
        <v>32</v>
      </c>
      <c r="D22" s="1" t="s">
        <v>33</v>
      </c>
      <c r="E22" s="1" t="s">
        <v>34</v>
      </c>
      <c r="F22" s="1" t="s">
        <v>35</v>
      </c>
      <c r="G22" s="1" t="s">
        <v>36</v>
      </c>
      <c r="J22" s="1" t="s">
        <v>68</v>
      </c>
      <c r="M22" s="1" t="s">
        <v>54</v>
      </c>
    </row>
    <row r="23" spans="2:19" x14ac:dyDescent="0.5">
      <c r="B23" s="1" t="s">
        <v>8</v>
      </c>
      <c r="C23" s="1">
        <v>3</v>
      </c>
      <c r="D23" s="1">
        <v>3</v>
      </c>
      <c r="E23" s="1">
        <v>6</v>
      </c>
      <c r="F23" s="1">
        <v>6</v>
      </c>
      <c r="G23" s="1">
        <v>10</v>
      </c>
      <c r="J23" s="29" t="s">
        <v>66</v>
      </c>
      <c r="M23" s="6"/>
    </row>
    <row r="24" spans="2:19" x14ac:dyDescent="0.5">
      <c r="B24" s="1" t="s">
        <v>20</v>
      </c>
      <c r="C24" s="1">
        <v>3</v>
      </c>
      <c r="D24" s="1">
        <v>3</v>
      </c>
      <c r="E24" s="1">
        <v>5</v>
      </c>
      <c r="F24" s="1">
        <v>5</v>
      </c>
      <c r="G24" s="1">
        <v>8</v>
      </c>
      <c r="J24" s="29" t="s">
        <v>67</v>
      </c>
      <c r="M24" s="1" t="str">
        <f>Econ!A78</f>
        <v>Industria</v>
      </c>
      <c r="O24" s="4">
        <f>Econ!C78+Econ!E78</f>
        <v>0.33</v>
      </c>
      <c r="P24" s="4">
        <f>IF(Econ!F78&lt;1,1,((O24-1)/Econ!E78))</f>
        <v>-2.0303030303030298</v>
      </c>
      <c r="Q24" s="4">
        <f>1-P24</f>
        <v>3.0303030303030298</v>
      </c>
    </row>
    <row r="25" spans="2:19" x14ac:dyDescent="0.5">
      <c r="B25" s="1" t="s">
        <v>21</v>
      </c>
      <c r="C25" s="1">
        <v>2</v>
      </c>
      <c r="D25" s="1">
        <v>2</v>
      </c>
      <c r="E25" s="1">
        <v>4</v>
      </c>
      <c r="F25" s="1">
        <v>4</v>
      </c>
      <c r="G25" s="1">
        <v>7</v>
      </c>
      <c r="J25" s="1" t="s">
        <v>44</v>
      </c>
      <c r="M25" s="6" t="str">
        <f>Econ!A79</f>
        <v>Industria</v>
      </c>
      <c r="O25" s="4">
        <f>Econ!C79+Econ!E79</f>
        <v>0.33</v>
      </c>
      <c r="P25" s="4">
        <f>IF(Econ!F79&lt;1,1,((O25-1)/Econ!E79))</f>
        <v>-2.0303030303030298</v>
      </c>
      <c r="Q25" s="4">
        <f t="shared" ref="Q25:Q28" si="4">1-P25</f>
        <v>3.0303030303030298</v>
      </c>
    </row>
    <row r="26" spans="2:19" x14ac:dyDescent="0.5">
      <c r="B26" s="1" t="s">
        <v>22</v>
      </c>
      <c r="C26" s="1">
        <v>2</v>
      </c>
      <c r="D26" s="1">
        <v>2</v>
      </c>
      <c r="E26" s="1">
        <v>4</v>
      </c>
      <c r="F26" s="1">
        <v>4</v>
      </c>
      <c r="G26" s="1">
        <v>6</v>
      </c>
      <c r="J26" s="1" t="s">
        <v>69</v>
      </c>
      <c r="M26" s="6" t="e">
        <f>Econ!#REF!</f>
        <v>#REF!</v>
      </c>
      <c r="O26" s="4" t="e">
        <f>Econ!#REF!+Econ!#REF!</f>
        <v>#REF!</v>
      </c>
      <c r="P26" s="4" t="e">
        <f>IF(Econ!#REF!&lt;1,1,((O26-1)/Econ!#REF!))</f>
        <v>#REF!</v>
      </c>
      <c r="Q26" s="4" t="e">
        <f t="shared" si="4"/>
        <v>#REF!</v>
      </c>
    </row>
    <row r="27" spans="2:19" x14ac:dyDescent="0.5">
      <c r="B27" s="1" t="s">
        <v>23</v>
      </c>
      <c r="C27" s="1">
        <v>2</v>
      </c>
      <c r="D27" s="1">
        <v>2</v>
      </c>
      <c r="E27" s="1">
        <v>4</v>
      </c>
      <c r="F27" s="1">
        <v>4</v>
      </c>
      <c r="G27" s="1">
        <v>6</v>
      </c>
      <c r="J27" s="1" t="s">
        <v>70</v>
      </c>
      <c r="M27" s="6" t="e">
        <f>Econ!#REF!</f>
        <v>#REF!</v>
      </c>
      <c r="O27" s="4" t="e">
        <f>Econ!#REF!+Econ!#REF!</f>
        <v>#REF!</v>
      </c>
      <c r="P27" s="4" t="e">
        <f>IF(Econ!#REF!&lt;1,1,((O27-1)/Econ!#REF!))</f>
        <v>#REF!</v>
      </c>
      <c r="Q27" s="4" t="e">
        <f t="shared" si="4"/>
        <v>#REF!</v>
      </c>
    </row>
    <row r="28" spans="2:19" x14ac:dyDescent="0.5">
      <c r="B28" s="1" t="s">
        <v>24</v>
      </c>
      <c r="C28" s="1">
        <v>2</v>
      </c>
      <c r="D28" s="1">
        <v>2</v>
      </c>
      <c r="E28" s="1">
        <v>4</v>
      </c>
      <c r="F28" s="1">
        <v>4</v>
      </c>
      <c r="G28" s="1">
        <v>6</v>
      </c>
      <c r="J28" s="1" t="s">
        <v>71</v>
      </c>
      <c r="M28" s="12" t="e">
        <f>Econ!#REF!</f>
        <v>#REF!</v>
      </c>
      <c r="O28" s="4" t="e">
        <f>Econ!#REF!+Econ!#REF!</f>
        <v>#REF!</v>
      </c>
      <c r="P28" s="4" t="e">
        <f>IF(Econ!#REF!&lt;1,1,((O28-1)/Econ!#REF!))</f>
        <v>#REF!</v>
      </c>
      <c r="Q28" s="4" t="e">
        <f t="shared" si="4"/>
        <v>#REF!</v>
      </c>
    </row>
    <row r="29" spans="2:19" x14ac:dyDescent="0.5">
      <c r="M29" s="6" t="s">
        <v>6</v>
      </c>
    </row>
    <row r="30" spans="2:19" x14ac:dyDescent="0.5">
      <c r="B30" s="1" t="s">
        <v>39</v>
      </c>
    </row>
    <row r="31" spans="2:19" x14ac:dyDescent="0.5">
      <c r="C31" s="1" t="s">
        <v>37</v>
      </c>
      <c r="D31" s="1" t="s">
        <v>38</v>
      </c>
      <c r="E31" s="1" t="s">
        <v>8</v>
      </c>
      <c r="F31" s="1" t="s">
        <v>20</v>
      </c>
      <c r="G31" s="1" t="s">
        <v>21</v>
      </c>
      <c r="H31" s="1" t="s">
        <v>22</v>
      </c>
      <c r="I31" s="1" t="s">
        <v>23</v>
      </c>
      <c r="J31" s="1" t="s">
        <v>24</v>
      </c>
      <c r="M31" s="1" t="s">
        <v>8</v>
      </c>
      <c r="N31" s="4">
        <v>0.15</v>
      </c>
      <c r="Q31" s="1" t="s">
        <v>10</v>
      </c>
    </row>
    <row r="32" spans="2:19" x14ac:dyDescent="0.5">
      <c r="B32" s="1" t="s">
        <v>168</v>
      </c>
      <c r="C32" s="1">
        <v>4</v>
      </c>
      <c r="D32" s="1">
        <v>4</v>
      </c>
      <c r="E32" s="1">
        <v>10</v>
      </c>
      <c r="F32" s="1">
        <v>8</v>
      </c>
      <c r="G32" s="1">
        <v>7</v>
      </c>
      <c r="H32" s="1">
        <v>6</v>
      </c>
      <c r="I32" s="1">
        <v>6</v>
      </c>
      <c r="J32" s="1">
        <v>6</v>
      </c>
      <c r="M32" s="1" t="s">
        <v>20</v>
      </c>
      <c r="N32" s="4">
        <v>0.2</v>
      </c>
      <c r="Q32" s="1" t="s">
        <v>120</v>
      </c>
    </row>
    <row r="33" spans="2:14" x14ac:dyDescent="0.5">
      <c r="B33" s="1" t="s">
        <v>169</v>
      </c>
      <c r="C33" s="1">
        <v>2</v>
      </c>
      <c r="D33" s="1">
        <v>2</v>
      </c>
      <c r="E33" s="1">
        <v>6</v>
      </c>
      <c r="F33" s="1">
        <v>5</v>
      </c>
      <c r="G33" s="1">
        <v>4</v>
      </c>
      <c r="H33" s="1">
        <v>4</v>
      </c>
      <c r="I33" s="1">
        <v>4</v>
      </c>
      <c r="J33" s="1">
        <v>4</v>
      </c>
      <c r="M33" s="1" t="s">
        <v>21</v>
      </c>
      <c r="N33" s="4">
        <v>0.25</v>
      </c>
    </row>
    <row r="34" spans="2:14" x14ac:dyDescent="0.5">
      <c r="B34" s="1" t="s">
        <v>170</v>
      </c>
      <c r="C34" s="1">
        <v>1</v>
      </c>
      <c r="D34" s="1">
        <v>1</v>
      </c>
      <c r="E34" s="1">
        <v>3</v>
      </c>
      <c r="F34" s="1">
        <v>3</v>
      </c>
      <c r="G34" s="1">
        <v>2</v>
      </c>
      <c r="H34" s="1">
        <v>2</v>
      </c>
      <c r="I34" s="1">
        <v>2</v>
      </c>
      <c r="J34" s="1">
        <v>2</v>
      </c>
      <c r="M34" s="1" t="s">
        <v>22</v>
      </c>
      <c r="N34" s="4">
        <v>0.3</v>
      </c>
    </row>
    <row r="35" spans="2:14" x14ac:dyDescent="0.5">
      <c r="B35" s="1" t="s">
        <v>171</v>
      </c>
      <c r="C35" s="1">
        <v>1</v>
      </c>
      <c r="D35" s="1">
        <v>1</v>
      </c>
      <c r="E35" s="1">
        <v>3</v>
      </c>
      <c r="F35" s="1">
        <v>3</v>
      </c>
      <c r="G35" s="1">
        <v>2</v>
      </c>
      <c r="H35" s="1">
        <v>2</v>
      </c>
      <c r="I35" s="1">
        <v>2</v>
      </c>
      <c r="J35" s="1">
        <v>2</v>
      </c>
      <c r="M35" s="1" t="s">
        <v>23</v>
      </c>
      <c r="N35" s="4">
        <v>0.35</v>
      </c>
    </row>
    <row r="36" spans="2:14" x14ac:dyDescent="0.5">
      <c r="B36" s="1" t="s">
        <v>172</v>
      </c>
      <c r="C36" s="1">
        <v>2</v>
      </c>
      <c r="D36" s="1">
        <v>2</v>
      </c>
      <c r="E36" s="1">
        <v>6</v>
      </c>
      <c r="F36" s="1">
        <v>5</v>
      </c>
      <c r="G36" s="1">
        <v>4</v>
      </c>
      <c r="H36" s="1">
        <v>4</v>
      </c>
      <c r="I36" s="1">
        <v>4</v>
      </c>
      <c r="J36" s="1">
        <v>4</v>
      </c>
      <c r="M36" s="1" t="s">
        <v>24</v>
      </c>
      <c r="N36" s="4">
        <v>0.4</v>
      </c>
    </row>
    <row r="37" spans="2:14" x14ac:dyDescent="0.5">
      <c r="B37" s="1" t="s">
        <v>173</v>
      </c>
      <c r="C37" s="1">
        <v>2</v>
      </c>
      <c r="D37" s="1">
        <v>2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</row>
    <row r="39" spans="2:14" x14ac:dyDescent="0.5">
      <c r="D39" s="1" t="s">
        <v>40</v>
      </c>
    </row>
    <row r="40" spans="2:14" x14ac:dyDescent="0.5">
      <c r="B40" s="1" t="s">
        <v>8</v>
      </c>
      <c r="C40" s="1">
        <v>4</v>
      </c>
      <c r="D40" s="1">
        <v>1</v>
      </c>
      <c r="E40" s="1" t="e">
        <f>VLOOKUP(Econ!E155,ShipQlookup,2)</f>
        <v>#N/A</v>
      </c>
    </row>
    <row r="41" spans="2:14" x14ac:dyDescent="0.5">
      <c r="B41" s="1" t="s">
        <v>20</v>
      </c>
      <c r="C41" s="1">
        <v>5</v>
      </c>
      <c r="D41" s="1">
        <v>2</v>
      </c>
      <c r="E41" s="1" t="e">
        <f>VLOOKUP(Econ!E156,ShipQlookup,2)</f>
        <v>#N/A</v>
      </c>
    </row>
    <row r="42" spans="2:14" x14ac:dyDescent="0.5">
      <c r="B42" s="1" t="s">
        <v>21</v>
      </c>
      <c r="C42" s="1">
        <v>6</v>
      </c>
      <c r="D42" s="1">
        <v>3</v>
      </c>
      <c r="E42" s="1" t="e">
        <f>VLOOKUP(Econ!E156,ShipQlookup,2)</f>
        <v>#N/A</v>
      </c>
    </row>
    <row r="43" spans="2:14" x14ac:dyDescent="0.5">
      <c r="B43" s="1" t="s">
        <v>22</v>
      </c>
      <c r="C43" s="1">
        <v>7</v>
      </c>
      <c r="D43" s="1">
        <v>4</v>
      </c>
      <c r="E43" s="1" t="e">
        <f>VLOOKUP(Econ!E157,ShipQlookup,2)</f>
        <v>#N/A</v>
      </c>
    </row>
    <row r="44" spans="2:14" x14ac:dyDescent="0.5">
      <c r="B44" s="1" t="s">
        <v>23</v>
      </c>
      <c r="C44" s="1">
        <v>8</v>
      </c>
      <c r="D44" s="1">
        <v>5</v>
      </c>
      <c r="E44" s="1" t="e">
        <f>VLOOKUP(Econ!E158,ShipQlookup,2)</f>
        <v>#N/A</v>
      </c>
    </row>
    <row r="45" spans="2:14" x14ac:dyDescent="0.5">
      <c r="B45" s="1" t="s">
        <v>24</v>
      </c>
      <c r="C45" s="1">
        <v>9</v>
      </c>
      <c r="D45" s="1">
        <v>6</v>
      </c>
      <c r="E45" s="1" t="e">
        <f>VLOOKUP(Econ!E159,ShipQlookup,2)</f>
        <v>#N/A</v>
      </c>
    </row>
    <row r="46" spans="2:14" x14ac:dyDescent="0.5">
      <c r="D46" s="1">
        <v>7</v>
      </c>
      <c r="E46" s="1" t="e">
        <f>VLOOKUP(Econ!E160,ShipQlookup,2)</f>
        <v>#N/A</v>
      </c>
    </row>
  </sheetData>
  <sortState xmlns:xlrd2="http://schemas.microsoft.com/office/spreadsheetml/2017/richdata2" ref="J13:N19">
    <sortCondition ref="J13:J19"/>
  </sortState>
  <mergeCells count="4">
    <mergeCell ref="I1:I2"/>
    <mergeCell ref="Q1:Q2"/>
    <mergeCell ref="P1:P2"/>
    <mergeCell ref="J11:N1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Econ</vt:lpstr>
      <vt:lpstr>Militar</vt:lpstr>
      <vt:lpstr>Colonias</vt:lpstr>
      <vt:lpstr>Ferrocarriles</vt:lpstr>
      <vt:lpstr>Data</vt:lpstr>
      <vt:lpstr>Bond_rating</vt:lpstr>
      <vt:lpstr>Econ_chart</vt:lpstr>
      <vt:lpstr>Econ_level</vt:lpstr>
      <vt:lpstr>Invest_option</vt:lpstr>
      <vt:lpstr>Land_Builds</vt:lpstr>
      <vt:lpstr>Mil_Buildings</vt:lpstr>
      <vt:lpstr>MilitaryB_cost</vt:lpstr>
      <vt:lpstr>Naval_builds</vt:lpstr>
      <vt:lpstr>Ship_size</vt:lpstr>
      <vt:lpstr>Ship_types</vt:lpstr>
      <vt:lpstr>ShipQlookup</vt:lpstr>
      <vt:lpstr>Weapon_Quality</vt:lpstr>
      <vt:lpstr>Yes_No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Glen (Ext)</dc:creator>
  <cp:lastModifiedBy>Néstor Seguí Martínez</cp:lastModifiedBy>
  <dcterms:created xsi:type="dcterms:W3CDTF">2017-05-12T13:11:48Z</dcterms:created>
  <dcterms:modified xsi:type="dcterms:W3CDTF">2021-03-06T22:32:50Z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1c2c7f19-dca1-43a0-9ebe-eae97200b718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MSIP_Label_f42aa342-8706-4288-bd11-ebb85995028c_Enabled">
    <vt:lpwstr>true</vt:lpwstr>
  </property>
  <property fmtid="{D5CDD505-2E9C-101B-9397-08002B2CF9AE}" pid="6" name="MSIP_Label_f42aa342-8706-4288-bd11-ebb85995028c_SetDate">
    <vt:lpwstr>2020-07-12T10:31:42Z</vt:lpwstr>
  </property>
  <property fmtid="{D5CDD505-2E9C-101B-9397-08002B2CF9AE}" pid="7" name="MSIP_Label_f42aa342-8706-4288-bd11-ebb85995028c_Method">
    <vt:lpwstr>Standard</vt:lpwstr>
  </property>
  <property fmtid="{D5CDD505-2E9C-101B-9397-08002B2CF9AE}" pid="8" name="MSIP_Label_f42aa342-8706-4288-bd11-ebb85995028c_Name">
    <vt:lpwstr>Internal</vt:lpwstr>
  </property>
  <property fmtid="{D5CDD505-2E9C-101B-9397-08002B2CF9AE}" pid="9" name="MSIP_Label_f42aa342-8706-4288-bd11-ebb85995028c_SiteId">
    <vt:lpwstr>72f988bf-86f1-41af-91ab-2d7cd011db47</vt:lpwstr>
  </property>
  <property fmtid="{D5CDD505-2E9C-101B-9397-08002B2CF9AE}" pid="10" name="MSIP_Label_f42aa342-8706-4288-bd11-ebb85995028c_ActionId">
    <vt:lpwstr>192b51a1-ae0d-4d6b-a121-f3b522b3f5a6</vt:lpwstr>
  </property>
  <property fmtid="{D5CDD505-2E9C-101B-9397-08002B2CF9AE}" pid="11" name="MSIP_Label_f42aa342-8706-4288-bd11-ebb85995028c_ContentBits">
    <vt:lpwstr>0</vt:lpwstr>
  </property>
</Properties>
</file>