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segui\Downloads\Nuevo Orden\1896\Inicio\"/>
    </mc:Choice>
  </mc:AlternateContent>
  <xr:revisionPtr revIDLastSave="0" documentId="13_ncr:1_{F70A01F3-84CD-46BF-B471-15F92B15B044}" xr6:coauthVersionLast="46" xr6:coauthVersionMax="46" xr10:uidLastSave="{00000000-0000-0000-0000-000000000000}"/>
  <bookViews>
    <workbookView xWindow="-98" yWindow="-98" windowWidth="20715" windowHeight="13276" xr2:uid="{00000000-000D-0000-FFFF-FFFF00000000}"/>
  </bookViews>
  <sheets>
    <sheet name="Econ" sheetId="1" r:id="rId1"/>
    <sheet name="Militar" sheetId="3" r:id="rId2"/>
    <sheet name="Colonias" sheetId="4" r:id="rId3"/>
    <sheet name="Ferrocarriles" sheetId="5" r:id="rId4"/>
    <sheet name="Data" sheetId="2" state="hidden" r:id="rId5"/>
  </sheets>
  <definedNames>
    <definedName name="Bond_rating">Data!$M$31:$N$36</definedName>
    <definedName name="Econ_chart">Data!$J$13:$N$19</definedName>
    <definedName name="Econ_level">Data!$J$22:$J$28</definedName>
    <definedName name="Invest_option">Data!$Q$31:$Q$32</definedName>
    <definedName name="Land_Builds">Data!$B$13:$F$18</definedName>
    <definedName name="Mil_Buildings">Data!$T$3:$T$7</definedName>
    <definedName name="MilitaryB_cost">Data!$T$4:$U$7</definedName>
    <definedName name="Naval_builds">Data!$B$23:$G$28</definedName>
    <definedName name="Ship_size">Data!$B$32:$J$37</definedName>
    <definedName name="Ship_types">Data!$B$31:$B$37</definedName>
    <definedName name="ShipQlookup">Data!$B$40:$C$45</definedName>
    <definedName name="Weapon_Quality">Data!$D$2:$D$8</definedName>
    <definedName name="Yes_No">Data!$B$4:$B$6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6" i="4" l="1"/>
  <c r="B37" i="4"/>
  <c r="B38" i="4"/>
  <c r="B35" i="4"/>
  <c r="B25" i="3" l="1"/>
  <c r="G194" i="1"/>
  <c r="C86" i="1"/>
  <c r="C87" i="1"/>
  <c r="C88" i="1"/>
  <c r="C85" i="1"/>
  <c r="B86" i="1"/>
  <c r="B87" i="1"/>
  <c r="B88" i="1"/>
  <c r="B85" i="1"/>
  <c r="H77" i="1"/>
  <c r="H78" i="1"/>
  <c r="H79" i="1"/>
  <c r="H80" i="1"/>
  <c r="H81" i="1"/>
  <c r="E73" i="1"/>
  <c r="G73" i="1" s="1"/>
  <c r="E74" i="1"/>
  <c r="G74" i="1" s="1"/>
  <c r="E75" i="1"/>
  <c r="F75" i="1" s="1"/>
  <c r="E76" i="1"/>
  <c r="F76" i="1" s="1"/>
  <c r="C78" i="1"/>
  <c r="C79" i="1"/>
  <c r="C80" i="1"/>
  <c r="C81" i="1"/>
  <c r="C77" i="1"/>
  <c r="B77" i="1"/>
  <c r="F73" i="1" l="1"/>
  <c r="G76" i="1"/>
  <c r="F74" i="1"/>
  <c r="G75" i="1"/>
  <c r="B81" i="1"/>
  <c r="E86" i="1"/>
  <c r="E87" i="1"/>
  <c r="E88" i="1"/>
  <c r="E85" i="1"/>
  <c r="B78" i="1" l="1"/>
  <c r="B79" i="1"/>
  <c r="B80" i="1"/>
  <c r="G78" i="1"/>
  <c r="E78" i="1"/>
  <c r="F78" i="1" s="1"/>
  <c r="E79" i="1"/>
  <c r="F79" i="1" s="1"/>
  <c r="E80" i="1"/>
  <c r="G80" i="1" s="1"/>
  <c r="E81" i="1"/>
  <c r="G81" i="1" s="1"/>
  <c r="E77" i="1"/>
  <c r="F77" i="1" s="1"/>
  <c r="K7" i="4"/>
  <c r="L7" i="4"/>
  <c r="M7" i="4"/>
  <c r="N7" i="4"/>
  <c r="O7" i="4"/>
  <c r="P7" i="4"/>
  <c r="D7" i="4"/>
  <c r="E7" i="4"/>
  <c r="F7" i="4"/>
  <c r="G7" i="4"/>
  <c r="H7" i="4"/>
  <c r="F32" i="1" s="1"/>
  <c r="I7" i="4"/>
  <c r="C7" i="4"/>
  <c r="G79" i="1" l="1"/>
  <c r="F81" i="1"/>
  <c r="F80" i="1"/>
  <c r="G77" i="1"/>
  <c r="C88" i="3"/>
  <c r="C165" i="1" l="1"/>
  <c r="C166" i="1"/>
  <c r="C167" i="1"/>
  <c r="C164" i="1"/>
  <c r="C146" i="1" l="1"/>
  <c r="C147" i="1"/>
  <c r="C148" i="1"/>
  <c r="C149" i="1"/>
  <c r="C150" i="1"/>
  <c r="C145" i="1"/>
  <c r="B150" i="1"/>
  <c r="B149" i="1"/>
  <c r="B148" i="1"/>
  <c r="B147" i="1"/>
  <c r="B146" i="1"/>
  <c r="B145" i="1"/>
  <c r="F104" i="1"/>
  <c r="F105" i="1"/>
  <c r="F106" i="1"/>
  <c r="F107" i="1"/>
  <c r="F108" i="1"/>
  <c r="F109" i="1"/>
  <c r="F110" i="1"/>
  <c r="F111" i="1"/>
  <c r="F103" i="1"/>
  <c r="E104" i="1"/>
  <c r="E105" i="1"/>
  <c r="E106" i="1"/>
  <c r="E107" i="1"/>
  <c r="E108" i="1"/>
  <c r="E109" i="1"/>
  <c r="E110" i="1"/>
  <c r="E111" i="1"/>
  <c r="E103" i="1"/>
  <c r="F86" i="1" l="1"/>
  <c r="F87" i="1"/>
  <c r="F88" i="1"/>
  <c r="F85" i="1"/>
  <c r="E72" i="1" l="1"/>
  <c r="G72" i="1" s="1"/>
  <c r="E71" i="1"/>
  <c r="F71" i="1" s="1"/>
  <c r="G55" i="1"/>
  <c r="F55" i="1"/>
  <c r="E55" i="1"/>
  <c r="D55" i="1"/>
  <c r="C55" i="1"/>
  <c r="B55" i="1"/>
  <c r="B31" i="1"/>
  <c r="E24" i="1"/>
  <c r="C24" i="1"/>
  <c r="B24" i="1"/>
  <c r="F72" i="1" l="1"/>
  <c r="G71" i="1"/>
  <c r="G82" i="1" l="1"/>
  <c r="F146" i="1"/>
  <c r="D32" i="1" l="1"/>
  <c r="D34" i="1" s="1"/>
  <c r="F34" i="1"/>
  <c r="F97" i="1" l="1"/>
  <c r="F96" i="1"/>
  <c r="F95" i="1"/>
  <c r="F94" i="1"/>
  <c r="G33" i="1" l="1"/>
  <c r="G35" i="1" s="1"/>
  <c r="F33" i="1"/>
  <c r="F35" i="1" s="1"/>
  <c r="E33" i="1"/>
  <c r="E35" i="1" s="1"/>
  <c r="D33" i="1"/>
  <c r="D35" i="1" s="1"/>
  <c r="C33" i="1"/>
  <c r="C35" i="1" s="1"/>
  <c r="G32" i="1"/>
  <c r="G34" i="1" s="1"/>
  <c r="E32" i="1"/>
  <c r="E34" i="1" s="1"/>
  <c r="C32" i="1"/>
  <c r="C34" i="1" s="1"/>
  <c r="B32" i="1"/>
  <c r="B34" i="1" s="1"/>
  <c r="E41" i="2" l="1"/>
  <c r="G146" i="1" s="1"/>
  <c r="D1" i="5" l="1"/>
  <c r="B9" i="1" s="1"/>
  <c r="K130" i="1" l="1"/>
  <c r="K129" i="1"/>
  <c r="K128" i="1"/>
  <c r="F148" i="1" l="1"/>
  <c r="F147" i="1"/>
  <c r="F145" i="1"/>
  <c r="F149" i="1" l="1"/>
  <c r="F150" i="1"/>
  <c r="B33" i="1" l="1"/>
  <c r="D60" i="1" l="1"/>
  <c r="O53" i="1" l="1"/>
  <c r="N53" i="1"/>
  <c r="M53" i="1"/>
  <c r="L53" i="1"/>
  <c r="K53" i="1"/>
  <c r="J53" i="1"/>
  <c r="G53" i="1"/>
  <c r="F53" i="1"/>
  <c r="E53" i="1"/>
  <c r="D53" i="1"/>
  <c r="C53" i="1"/>
  <c r="B53" i="1"/>
  <c r="C25" i="1"/>
  <c r="B25" i="1"/>
  <c r="C56" i="1" l="1"/>
  <c r="B56" i="1"/>
  <c r="G31" i="1" l="1"/>
  <c r="F31" i="1"/>
  <c r="E31" i="1"/>
  <c r="D31" i="1"/>
  <c r="C31" i="1"/>
  <c r="D25" i="3"/>
  <c r="B36" i="3" s="1"/>
  <c r="H25" i="3"/>
  <c r="J25" i="3"/>
  <c r="Q12" i="2"/>
  <c r="Q14" i="2" s="1"/>
  <c r="Q15" i="2"/>
  <c r="B35" i="1"/>
  <c r="N24" i="1"/>
  <c r="N26" i="1"/>
  <c r="N25" i="1"/>
  <c r="N27" i="1"/>
  <c r="N28" i="1"/>
  <c r="N23" i="1"/>
  <c r="M24" i="1"/>
  <c r="M26" i="1"/>
  <c r="M25" i="1"/>
  <c r="M27" i="1"/>
  <c r="M28" i="1"/>
  <c r="M23" i="1"/>
  <c r="L24" i="1"/>
  <c r="L26" i="1"/>
  <c r="L25" i="1"/>
  <c r="L27" i="1"/>
  <c r="L28" i="1"/>
  <c r="L23" i="1"/>
  <c r="K24" i="1"/>
  <c r="K26" i="1"/>
  <c r="K25" i="1"/>
  <c r="K27" i="1"/>
  <c r="K28" i="1"/>
  <c r="K23" i="1"/>
  <c r="G110" i="1"/>
  <c r="D23" i="1"/>
  <c r="D25" i="1" s="1"/>
  <c r="D56" i="1" s="1"/>
  <c r="E23" i="1"/>
  <c r="E25" i="1" s="1"/>
  <c r="E56" i="1" s="1"/>
  <c r="F23" i="1"/>
  <c r="F25" i="1" s="1"/>
  <c r="F56" i="1" s="1"/>
  <c r="G23" i="1"/>
  <c r="G25" i="1" s="1"/>
  <c r="G56" i="1" s="1"/>
  <c r="C23" i="1"/>
  <c r="B59" i="3"/>
  <c r="D59" i="3"/>
  <c r="L59" i="3"/>
  <c r="H59" i="3"/>
  <c r="J59" i="3"/>
  <c r="F59" i="3"/>
  <c r="C78" i="3"/>
  <c r="C91" i="3"/>
  <c r="C95" i="3"/>
  <c r="I8" i="1"/>
  <c r="H63" i="1"/>
  <c r="J3" i="2"/>
  <c r="K3" i="2"/>
  <c r="L3" i="2"/>
  <c r="M3" i="2"/>
  <c r="J4" i="2"/>
  <c r="K4" i="2"/>
  <c r="L4" i="2"/>
  <c r="M4" i="2"/>
  <c r="J5" i="2"/>
  <c r="K5" i="2"/>
  <c r="L5" i="2"/>
  <c r="M5" i="2"/>
  <c r="J6" i="2"/>
  <c r="K6" i="2"/>
  <c r="L6" i="2"/>
  <c r="M6" i="2"/>
  <c r="E40" i="2"/>
  <c r="G145" i="1" s="1"/>
  <c r="E42" i="2"/>
  <c r="G147" i="1" s="1"/>
  <c r="E43" i="2"/>
  <c r="G148" i="1" s="1"/>
  <c r="E44" i="2"/>
  <c r="G149" i="1" s="1"/>
  <c r="E45" i="2"/>
  <c r="G150" i="1" s="1"/>
  <c r="E46" i="2"/>
  <c r="H36" i="3"/>
  <c r="H71" i="3"/>
  <c r="I62" i="1"/>
  <c r="G62" i="1"/>
  <c r="F62" i="1"/>
  <c r="F25" i="3"/>
  <c r="G61" i="1"/>
  <c r="F61" i="1"/>
  <c r="B23" i="1"/>
  <c r="N29" i="1"/>
  <c r="M29" i="1"/>
  <c r="L29" i="1"/>
  <c r="K29" i="1"/>
  <c r="O24" i="2"/>
  <c r="B141" i="1"/>
  <c r="O26" i="2"/>
  <c r="O28" i="2"/>
  <c r="M25" i="2"/>
  <c r="M26" i="2"/>
  <c r="M27" i="2"/>
  <c r="M28" i="2"/>
  <c r="M24" i="2"/>
  <c r="I136" i="1"/>
  <c r="I60" i="1"/>
  <c r="I61" i="1"/>
  <c r="I63" i="1"/>
  <c r="M128" i="1"/>
  <c r="M129" i="1"/>
  <c r="M130" i="1"/>
  <c r="K127" i="1"/>
  <c r="M127" i="1" s="1"/>
  <c r="B130" i="1"/>
  <c r="B129" i="1"/>
  <c r="B127" i="1"/>
  <c r="B128" i="1"/>
  <c r="B126" i="1"/>
  <c r="P51" i="1" l="1"/>
  <c r="H51" i="1"/>
  <c r="B99" i="3"/>
  <c r="O11" i="3" s="1"/>
  <c r="I9" i="1"/>
  <c r="F89" i="1"/>
  <c r="E89" i="1"/>
  <c r="E90" i="1" s="1"/>
  <c r="P52" i="1"/>
  <c r="P53" i="1" s="1"/>
  <c r="H52" i="1"/>
  <c r="O27" i="2"/>
  <c r="B64" i="3"/>
  <c r="B65" i="3" s="1"/>
  <c r="O9" i="3" s="1"/>
  <c r="O25" i="2"/>
  <c r="P25" i="2" s="1"/>
  <c r="Q25" i="2" s="1"/>
  <c r="B64" i="1"/>
  <c r="F98" i="1"/>
  <c r="P24" i="2"/>
  <c r="Q24" i="2" s="1"/>
  <c r="N6" i="2"/>
  <c r="O6" i="2" s="1"/>
  <c r="P6" i="2" s="1"/>
  <c r="Q6" i="2" s="1"/>
  <c r="L130" i="1" s="1"/>
  <c r="P26" i="2"/>
  <c r="Q26" i="2" s="1"/>
  <c r="C168" i="1"/>
  <c r="F151" i="1"/>
  <c r="H151" i="1" s="1"/>
  <c r="F112" i="1"/>
  <c r="P28" i="2"/>
  <c r="Q28" i="2" s="1"/>
  <c r="N5" i="2"/>
  <c r="O5" i="2" s="1"/>
  <c r="P5" i="2" s="1"/>
  <c r="Q5" i="2" s="1"/>
  <c r="L129" i="1" s="1"/>
  <c r="G151" i="1"/>
  <c r="I64" i="1"/>
  <c r="F64" i="1"/>
  <c r="E64" i="1"/>
  <c r="D64" i="1"/>
  <c r="G64" i="1"/>
  <c r="N4" i="2"/>
  <c r="O4" i="2" s="1"/>
  <c r="P4" i="2" s="1"/>
  <c r="Q4" i="2" s="1"/>
  <c r="L128" i="1" s="1"/>
  <c r="N3" i="2"/>
  <c r="O3" i="2" s="1"/>
  <c r="P3" i="2" s="1"/>
  <c r="Q3" i="2" s="1"/>
  <c r="L127" i="1" s="1"/>
  <c r="C64" i="1"/>
  <c r="G28" i="3"/>
  <c r="Q13" i="2"/>
  <c r="B35" i="3"/>
  <c r="B37" i="3" s="1"/>
  <c r="P8" i="3" s="1"/>
  <c r="H53" i="1" l="1"/>
  <c r="O12" i="3"/>
  <c r="B11" i="1" s="1"/>
  <c r="B66" i="3"/>
  <c r="P9" i="3" s="1"/>
  <c r="P12" i="3" s="1"/>
  <c r="B5" i="1" s="1"/>
  <c r="B8" i="1" s="1"/>
  <c r="G63" i="3"/>
  <c r="P27" i="2"/>
  <c r="Q27" i="2" s="1"/>
  <c r="B116" i="1"/>
  <c r="L131" i="1"/>
  <c r="Q16" i="2"/>
  <c r="R16" i="2"/>
  <c r="S16" i="2"/>
  <c r="B117" i="1" l="1"/>
  <c r="B121" i="1"/>
  <c r="D121" i="1" s="1"/>
  <c r="B15" i="1"/>
  <c r="H56" i="1" s="1"/>
  <c r="H64" i="1" s="1"/>
  <c r="F113" i="1" s="1"/>
  <c r="Q17" i="2"/>
  <c r="Q18" i="2"/>
  <c r="H136" i="1" l="1"/>
  <c r="E116" i="1"/>
  <c r="G196" i="1" l="1"/>
  <c r="J28" i="3" s="1"/>
  <c r="H72" i="3" s="1"/>
  <c r="D102" i="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Cody, Glen (Ext)</author>
    <author>Frys</author>
  </authors>
  <commentList>
    <comment ref="A93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Must have approval of the owner of the Territory before investing.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93" authorId="0" shapeId="0" xr:uid="{00000000-0006-0000-0000-000004000000}">
      <text>
        <r>
          <rPr>
            <sz val="9"/>
            <color indexed="81"/>
            <rFont val="Tahoma"/>
            <family val="2"/>
          </rPr>
          <t xml:space="preserve">Has R&amp;R  been completed in territory 
the last 3 game years?
</t>
        </r>
      </text>
    </comment>
    <comment ref="C102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Cody, Glen (Ext):</t>
        </r>
        <r>
          <rPr>
            <sz val="9"/>
            <color indexed="81"/>
            <rFont val="Tahoma"/>
            <family val="2"/>
          </rPr>
          <t xml:space="preserve">
% of R&amp;D completed.</t>
        </r>
      </text>
    </comment>
    <comment ref="D102" authorId="1" shapeId="0" xr:uid="{00000000-0006-0000-0000-000006000000}">
      <text>
        <r>
          <rPr>
            <sz val="9"/>
            <color indexed="81"/>
            <rFont val="Tahoma"/>
            <family val="2"/>
          </rPr>
          <t xml:space="preserve">Options: No, yes, Continue
</t>
        </r>
      </text>
    </comment>
    <comment ref="C126" authorId="0" shapeId="0" xr:uid="{00000000-0006-0000-0000-000007000000}">
      <text>
        <r>
          <rPr>
            <b/>
            <sz val="9"/>
            <color indexed="81"/>
            <rFont val="Tahoma"/>
            <family val="2"/>
          </rPr>
          <t>Cody, Glen (Ext):</t>
        </r>
        <r>
          <rPr>
            <sz val="9"/>
            <color indexed="81"/>
            <rFont val="Tahoma"/>
            <family val="2"/>
          </rPr>
          <t xml:space="preserve">
Small Arms - 1 per point
</t>
        </r>
      </text>
    </comment>
    <comment ref="D126" authorId="0" shapeId="0" xr:uid="{00000000-0006-0000-0000-000008000000}">
      <text>
        <r>
          <rPr>
            <b/>
            <sz val="9"/>
            <color indexed="81"/>
            <rFont val="Tahoma"/>
            <family val="2"/>
          </rPr>
          <t>Cody, Glen (Ext):</t>
        </r>
        <r>
          <rPr>
            <sz val="9"/>
            <color indexed="81"/>
            <rFont val="Tahoma"/>
            <family val="2"/>
          </rPr>
          <t xml:space="preserve">
Quality of weapons;
$3/each, $4 if A or B.</t>
        </r>
      </text>
    </comment>
    <comment ref="E126" authorId="0" shapeId="0" xr:uid="{00000000-0006-0000-0000-000009000000}">
      <text>
        <r>
          <rPr>
            <b/>
            <sz val="9"/>
            <color indexed="81"/>
            <rFont val="Tahoma"/>
            <family val="2"/>
          </rPr>
          <t>Cody, Glen (Ext):</t>
        </r>
        <r>
          <rPr>
            <sz val="9"/>
            <color indexed="81"/>
            <rFont val="Tahoma"/>
            <family val="2"/>
          </rPr>
          <t xml:space="preserve">
Machine Gun - 1 per point</t>
        </r>
      </text>
    </comment>
    <comment ref="F126" authorId="0" shapeId="0" xr:uid="{00000000-0006-0000-0000-00000A000000}">
      <text>
        <r>
          <rPr>
            <b/>
            <sz val="9"/>
            <color indexed="81"/>
            <rFont val="Tahoma"/>
            <family val="2"/>
          </rPr>
          <t>Cody, Glen (Ext):</t>
        </r>
        <r>
          <rPr>
            <sz val="9"/>
            <color indexed="81"/>
            <rFont val="Tahoma"/>
            <family val="2"/>
          </rPr>
          <t xml:space="preserve">
Quality of weapons;
$3/each, $4 if A or B.</t>
        </r>
      </text>
    </comment>
    <comment ref="G126" authorId="0" shapeId="0" xr:uid="{00000000-0006-0000-0000-00000B000000}">
      <text>
        <r>
          <rPr>
            <b/>
            <sz val="9"/>
            <color indexed="81"/>
            <rFont val="Tahoma"/>
            <family val="2"/>
          </rPr>
          <t>Cody, Glen (Ext):</t>
        </r>
        <r>
          <rPr>
            <sz val="9"/>
            <color indexed="81"/>
            <rFont val="Tahoma"/>
            <family val="2"/>
          </rPr>
          <t xml:space="preserve">
Field artilly (light) 2 points per unit</t>
        </r>
      </text>
    </comment>
    <comment ref="H126" authorId="0" shapeId="0" xr:uid="{00000000-0006-0000-0000-00000C000000}">
      <text>
        <r>
          <rPr>
            <b/>
            <sz val="9"/>
            <color indexed="81"/>
            <rFont val="Tahoma"/>
            <family val="2"/>
          </rPr>
          <t>Cody, Glen (Ext):</t>
        </r>
        <r>
          <rPr>
            <sz val="9"/>
            <color indexed="81"/>
            <rFont val="Tahoma"/>
            <family val="2"/>
          </rPr>
          <t xml:space="preserve">
Quality of Equipment.
$6/each, $7 if B or C, $8 if A.
</t>
        </r>
      </text>
    </comment>
    <comment ref="I126" authorId="0" shapeId="0" xr:uid="{00000000-0006-0000-0000-00000D000000}">
      <text>
        <r>
          <rPr>
            <b/>
            <sz val="9"/>
            <color indexed="81"/>
            <rFont val="Tahoma"/>
            <family val="2"/>
          </rPr>
          <t>Cody, Glen (Ext):</t>
        </r>
        <r>
          <rPr>
            <sz val="9"/>
            <color indexed="81"/>
            <rFont val="Tahoma"/>
            <family val="2"/>
          </rPr>
          <t xml:space="preserve">
Heavy Artillery (Siege)- 4 points per unit
</t>
        </r>
      </text>
    </comment>
    <comment ref="J126" authorId="0" shapeId="0" xr:uid="{00000000-0006-0000-0000-00000E000000}">
      <text>
        <r>
          <rPr>
            <b/>
            <sz val="9"/>
            <color indexed="81"/>
            <rFont val="Tahoma"/>
            <family val="2"/>
          </rPr>
          <t>Cody, Glen (Ext):</t>
        </r>
        <r>
          <rPr>
            <sz val="9"/>
            <color indexed="81"/>
            <rFont val="Tahoma"/>
            <family val="2"/>
          </rPr>
          <t xml:space="preserve">
Quality of equipment
$12/each, $14 if C, $16 if B, $18 of A.</t>
        </r>
      </text>
    </comment>
    <comment ref="B144" authorId="0" shapeId="0" xr:uid="{00000000-0006-0000-0000-00000F000000}">
      <text>
        <r>
          <rPr>
            <b/>
            <sz val="9"/>
            <color indexed="81"/>
            <rFont val="Tahoma"/>
            <family val="2"/>
          </rPr>
          <t>Cody, Glen (Ext):</t>
        </r>
        <r>
          <rPr>
            <sz val="9"/>
            <color indexed="81"/>
            <rFont val="Tahoma"/>
            <family val="2"/>
          </rPr>
          <t xml:space="preserve">
Number of ship sizes need per year of construction
</t>
        </r>
      </text>
    </comment>
    <comment ref="C144" authorId="0" shapeId="0" xr:uid="{00000000-0006-0000-0000-000010000000}">
      <text>
        <r>
          <rPr>
            <b/>
            <sz val="9"/>
            <color indexed="81"/>
            <rFont val="Tahoma"/>
            <family val="2"/>
          </rPr>
          <t>Cody, Glen (Ext):</t>
        </r>
        <r>
          <rPr>
            <sz val="9"/>
            <color indexed="81"/>
            <rFont val="Tahoma"/>
            <family val="2"/>
          </rPr>
          <t xml:space="preserve">
Time to complete: Number of years to need to build the ship
</t>
        </r>
      </text>
    </comment>
    <comment ref="E144" authorId="0" shapeId="0" xr:uid="{00000000-0006-0000-0000-000011000000}">
      <text>
        <r>
          <rPr>
            <b/>
            <sz val="9"/>
            <color indexed="81"/>
            <rFont val="Tahoma"/>
            <family val="2"/>
          </rPr>
          <t>Cody, Glen (Ext):</t>
        </r>
        <r>
          <rPr>
            <sz val="9"/>
            <color indexed="81"/>
            <rFont val="Tahoma"/>
            <family val="2"/>
          </rPr>
          <t xml:space="preserve">
Quality of Ship
</t>
        </r>
      </text>
    </comment>
    <comment ref="B155" authorId="0" shapeId="0" xr:uid="{00000000-0006-0000-0000-000012000000}">
      <text>
        <r>
          <rPr>
            <b/>
            <sz val="9"/>
            <color indexed="81"/>
            <rFont val="Tahoma"/>
            <family val="2"/>
          </rPr>
          <t>Cody, Glen (Ext):</t>
        </r>
        <r>
          <rPr>
            <sz val="9"/>
            <color indexed="81"/>
            <rFont val="Tahoma"/>
            <family val="2"/>
          </rPr>
          <t xml:space="preserve">
Number of ship sizes need per year of construction
</t>
        </r>
      </text>
    </comment>
    <comment ref="C155" authorId="0" shapeId="0" xr:uid="{00000000-0006-0000-0000-000013000000}">
      <text>
        <r>
          <rPr>
            <b/>
            <sz val="9"/>
            <color indexed="81"/>
            <rFont val="Tahoma"/>
            <family val="2"/>
          </rPr>
          <t>Cody, Glen (Ext):</t>
        </r>
        <r>
          <rPr>
            <sz val="9"/>
            <color indexed="81"/>
            <rFont val="Tahoma"/>
            <family val="2"/>
          </rPr>
          <t xml:space="preserve">
Time to complete: Number of years to need to build the ship
</t>
        </r>
      </text>
    </comment>
    <comment ref="E155" authorId="0" shapeId="0" xr:uid="{00000000-0006-0000-0000-000014000000}">
      <text>
        <r>
          <rPr>
            <b/>
            <sz val="9"/>
            <color indexed="81"/>
            <rFont val="Tahoma"/>
            <family val="2"/>
          </rPr>
          <t>Cody, Glen (Ext):</t>
        </r>
        <r>
          <rPr>
            <sz val="9"/>
            <color indexed="81"/>
            <rFont val="Tahoma"/>
            <family val="2"/>
          </rPr>
          <t xml:space="preserve">
Quality of Ship
</t>
        </r>
      </text>
    </comment>
    <comment ref="A173" authorId="0" shapeId="0" xr:uid="{00000000-0006-0000-0000-000015000000}">
      <text>
        <r>
          <rPr>
            <sz val="9"/>
            <color indexed="81"/>
            <rFont val="Tahoma"/>
            <family val="2"/>
          </rPr>
          <t xml:space="preserve">Use this to add any orders not listed on the sheet like transfer of funds or payment of training.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Cody, Glen (Ext)</author>
    <author>Frys</author>
  </authors>
  <commentList>
    <comment ref="F28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Cost to train your Army.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28" authorId="0" shapeId="0" xr:uid="{00000000-0006-0000-0100-000002000000}">
      <text>
        <r>
          <rPr>
            <sz val="9"/>
            <color indexed="81"/>
            <rFont val="Tahoma"/>
            <family val="2"/>
          </rPr>
          <t xml:space="preserve">Cash remaining from Econ page.
</t>
        </r>
      </text>
    </comment>
    <comment ref="B48" authorId="1" shapeId="0" xr:uid="{00000000-0006-0000-0100-000003000000}">
      <text>
        <r>
          <rPr>
            <b/>
            <sz val="9"/>
            <color indexed="81"/>
            <rFont val="Tahoma"/>
            <family val="2"/>
          </rPr>
          <t xml:space="preserve">Size = 4
</t>
        </r>
      </text>
    </comment>
    <comment ref="D48" authorId="1" shapeId="0" xr:uid="{00000000-0006-0000-0100-000004000000}">
      <text>
        <r>
          <rPr>
            <b/>
            <sz val="9"/>
            <color indexed="81"/>
            <rFont val="Tahoma"/>
            <family val="2"/>
          </rPr>
          <t xml:space="preserve">Size = 2
</t>
        </r>
      </text>
    </comment>
    <comment ref="F48" authorId="1" shapeId="0" xr:uid="{00000000-0006-0000-0100-000005000000}">
      <text>
        <r>
          <rPr>
            <sz val="9"/>
            <color indexed="81"/>
            <rFont val="Tahoma"/>
            <family val="2"/>
          </rPr>
          <t xml:space="preserve">Size = 2
</t>
        </r>
      </text>
    </comment>
    <comment ref="H48" authorId="1" shapeId="0" xr:uid="{00000000-0006-0000-0100-000006000000}">
      <text>
        <r>
          <rPr>
            <b/>
            <sz val="9"/>
            <color indexed="81"/>
            <rFont val="Tahoma"/>
            <family val="2"/>
          </rPr>
          <t>Size = 1</t>
        </r>
      </text>
    </comment>
    <comment ref="J48" authorId="1" shapeId="0" xr:uid="{00000000-0006-0000-0100-000007000000}">
      <text>
        <r>
          <rPr>
            <b/>
            <sz val="9"/>
            <color indexed="81"/>
            <rFont val="Tahoma"/>
            <family val="2"/>
          </rPr>
          <t xml:space="preserve">Size = 1
</t>
        </r>
      </text>
    </comment>
    <comment ref="L48" authorId="1" shapeId="0" xr:uid="{00000000-0006-0000-0100-000008000000}">
      <text>
        <r>
          <rPr>
            <b/>
            <sz val="9"/>
            <color indexed="81"/>
            <rFont val="Tahoma"/>
            <family val="2"/>
          </rPr>
          <t xml:space="preserve">Size = 2
</t>
        </r>
      </text>
    </comment>
    <comment ref="F63" authorId="0" shapeId="0" xr:uid="{00000000-0006-0000-0100-000009000000}">
      <text>
        <r>
          <rPr>
            <b/>
            <sz val="9"/>
            <color indexed="81"/>
            <rFont val="Tahoma"/>
            <family val="2"/>
          </rPr>
          <t xml:space="preserve">Cost per year to train your navy.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Cody, Glen (Ext)</author>
    <author>Frys</author>
  </authors>
  <commentList>
    <comment ref="N2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Cody, Glen (Ext):</t>
        </r>
        <r>
          <rPr>
            <sz val="9"/>
            <color indexed="81"/>
            <rFont val="Tahoma"/>
            <family val="2"/>
          </rPr>
          <t xml:space="preserve">
Number of lots
</t>
        </r>
      </text>
    </comment>
    <comment ref="O2" authorId="0" shapeId="0" xr:uid="{00000000-0006-0000-0300-000002000000}">
      <text>
        <r>
          <rPr>
            <b/>
            <sz val="9"/>
            <color indexed="81"/>
            <rFont val="Tahoma"/>
            <family val="2"/>
          </rPr>
          <t>Cody, Glen (Ext):</t>
        </r>
        <r>
          <rPr>
            <sz val="9"/>
            <color indexed="81"/>
            <rFont val="Tahoma"/>
            <family val="2"/>
          </rPr>
          <t xml:space="preserve">
Number of retools on the line.
</t>
        </r>
      </text>
    </comment>
    <comment ref="P12" authorId="1" shapeId="0" xr:uid="{00000000-0006-0000-0300-000003000000}">
      <text>
        <r>
          <rPr>
            <sz val="9"/>
            <color indexed="81"/>
            <rFont val="Tahoma"/>
            <family val="2"/>
          </rPr>
          <t xml:space="preserve">Total Populaton
</t>
        </r>
      </text>
    </comment>
    <comment ref="Q12" authorId="1" shapeId="0" xr:uid="{00000000-0006-0000-0300-000004000000}">
      <text>
        <r>
          <rPr>
            <b/>
            <sz val="9"/>
            <color indexed="81"/>
            <rFont val="Tahoma"/>
            <family val="2"/>
          </rPr>
          <t>Total population rounded up</t>
        </r>
      </text>
    </comment>
    <comment ref="Q15" authorId="1" shapeId="0" xr:uid="{00000000-0006-0000-0300-000005000000}">
      <text>
        <r>
          <rPr>
            <b/>
            <sz val="9"/>
            <color indexed="81"/>
            <rFont val="Tahoma"/>
            <family val="2"/>
          </rPr>
          <t xml:space="preserve">Volunter Army +$5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Q16" authorId="1" shapeId="0" xr:uid="{00000000-0006-0000-0300-000006000000}">
      <text>
        <r>
          <rPr>
            <b/>
            <sz val="9"/>
            <color indexed="81"/>
            <rFont val="Tahoma"/>
            <family val="2"/>
          </rPr>
          <t xml:space="preserve">Over limit Cost - $5 if over 150%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R16" authorId="0" shapeId="0" xr:uid="{00000000-0006-0000-0300-000007000000}">
      <text>
        <r>
          <rPr>
            <b/>
            <sz val="9"/>
            <color indexed="81"/>
            <rFont val="Tahoma"/>
            <family val="2"/>
          </rPr>
          <t xml:space="preserve">if # of divs are less than population: -$5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S16" authorId="0" shapeId="0" xr:uid="{00000000-0006-0000-0300-000008000000}">
      <text>
        <r>
          <rPr>
            <b/>
            <sz val="9"/>
            <color indexed="81"/>
            <rFont val="Tahoma"/>
            <family val="2"/>
          </rPr>
          <t xml:space="preserve">If # of Div &gt; 2X Population: +$5 (Reserves only)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22" authorId="0" shapeId="0" xr:uid="{00000000-0006-0000-0300-000009000000}">
      <text>
        <r>
          <rPr>
            <b/>
            <sz val="9"/>
            <color indexed="81"/>
            <rFont val="Tahoma"/>
            <family val="2"/>
          </rPr>
          <t>Cody, Glen (Ext):</t>
        </r>
        <r>
          <rPr>
            <sz val="9"/>
            <color indexed="81"/>
            <rFont val="Tahoma"/>
            <family val="2"/>
          </rPr>
          <t xml:space="preserve">
Gunboats
</t>
        </r>
      </text>
    </comment>
    <comment ref="D22" authorId="0" shapeId="0" xr:uid="{00000000-0006-0000-0300-00000A000000}">
      <text>
        <r>
          <rPr>
            <b/>
            <sz val="9"/>
            <color indexed="81"/>
            <rFont val="Tahoma"/>
            <family val="2"/>
          </rPr>
          <t>Cody, Glen (Ext):</t>
        </r>
        <r>
          <rPr>
            <sz val="9"/>
            <color indexed="81"/>
            <rFont val="Tahoma"/>
            <family val="2"/>
          </rPr>
          <t xml:space="preserve">
Destroyers</t>
        </r>
      </text>
    </comment>
    <comment ref="E22" authorId="0" shapeId="0" xr:uid="{00000000-0006-0000-0300-00000B000000}">
      <text>
        <r>
          <rPr>
            <b/>
            <sz val="9"/>
            <color indexed="81"/>
            <rFont val="Tahoma"/>
            <family val="2"/>
          </rPr>
          <t>Cody, Glen (Ext):</t>
        </r>
        <r>
          <rPr>
            <sz val="9"/>
            <color indexed="81"/>
            <rFont val="Tahoma"/>
            <family val="2"/>
          </rPr>
          <t xml:space="preserve">
Cruisers
</t>
        </r>
      </text>
    </comment>
    <comment ref="F22" authorId="0" shapeId="0" xr:uid="{00000000-0006-0000-0300-00000C000000}">
      <text>
        <r>
          <rPr>
            <b/>
            <sz val="9"/>
            <color indexed="81"/>
            <rFont val="Tahoma"/>
            <family val="2"/>
          </rPr>
          <t>Cody, Glen (Ext):</t>
        </r>
        <r>
          <rPr>
            <sz val="9"/>
            <color indexed="81"/>
            <rFont val="Tahoma"/>
            <family val="2"/>
          </rPr>
          <t xml:space="preserve">
Submarines
</t>
        </r>
      </text>
    </comment>
    <comment ref="G22" authorId="0" shapeId="0" xr:uid="{00000000-0006-0000-0300-00000D000000}">
      <text>
        <r>
          <rPr>
            <b/>
            <sz val="9"/>
            <color indexed="81"/>
            <rFont val="Tahoma"/>
            <family val="2"/>
          </rPr>
          <t>Cody, Glen (Ext):</t>
        </r>
        <r>
          <rPr>
            <sz val="9"/>
            <color indexed="81"/>
            <rFont val="Tahoma"/>
            <family val="2"/>
          </rPr>
          <t xml:space="preserve">
Battleships
</t>
        </r>
      </text>
    </comment>
    <comment ref="C31" authorId="0" shapeId="0" xr:uid="{00000000-0006-0000-0300-00000E000000}">
      <text>
        <r>
          <rPr>
            <b/>
            <sz val="9"/>
            <color indexed="81"/>
            <rFont val="Tahoma"/>
            <family val="2"/>
          </rPr>
          <t>Cody, Glen (Ext):</t>
        </r>
        <r>
          <rPr>
            <sz val="9"/>
            <color indexed="81"/>
            <rFont val="Tahoma"/>
            <family val="2"/>
          </rPr>
          <t xml:space="preserve">
Number of ship sizes need per year of construction
</t>
        </r>
      </text>
    </comment>
    <comment ref="D31" authorId="0" shapeId="0" xr:uid="{00000000-0006-0000-0300-00000F000000}">
      <text>
        <r>
          <rPr>
            <b/>
            <sz val="9"/>
            <color indexed="81"/>
            <rFont val="Tahoma"/>
            <family val="2"/>
          </rPr>
          <t>Cody, Glen (Ext):</t>
        </r>
        <r>
          <rPr>
            <sz val="9"/>
            <color indexed="81"/>
            <rFont val="Tahoma"/>
            <family val="2"/>
          </rPr>
          <t xml:space="preserve">
Time to complete: Number of years to need to build the ship
</t>
        </r>
      </text>
    </comment>
  </commentList>
</comments>
</file>

<file path=xl/sharedStrings.xml><?xml version="1.0" encoding="utf-8"?>
<sst xmlns="http://schemas.openxmlformats.org/spreadsheetml/2006/main" count="569" uniqueCount="269">
  <si>
    <t>Food</t>
  </si>
  <si>
    <t>Tropical</t>
  </si>
  <si>
    <t>Total</t>
  </si>
  <si>
    <t>Total:</t>
  </si>
  <si>
    <t>Goods</t>
  </si>
  <si>
    <t>Balance:</t>
  </si>
  <si>
    <t xml:space="preserve"> </t>
  </si>
  <si>
    <t>%</t>
  </si>
  <si>
    <t>A</t>
  </si>
  <si>
    <t>Yes/No</t>
  </si>
  <si>
    <t>No</t>
  </si>
  <si>
    <t>Land Builds</t>
  </si>
  <si>
    <t>Line 1</t>
  </si>
  <si>
    <t>Line 2</t>
  </si>
  <si>
    <t>Line 3</t>
  </si>
  <si>
    <t>Line 4</t>
  </si>
  <si>
    <t>SA</t>
  </si>
  <si>
    <t>MG</t>
  </si>
  <si>
    <t>FA</t>
  </si>
  <si>
    <t>HA</t>
  </si>
  <si>
    <t>B</t>
  </si>
  <si>
    <t>C</t>
  </si>
  <si>
    <t>D</t>
  </si>
  <si>
    <t>E</t>
  </si>
  <si>
    <t>F</t>
  </si>
  <si>
    <t>Quality</t>
  </si>
  <si>
    <t>Land Build Cost</t>
  </si>
  <si>
    <t>Count</t>
  </si>
  <si>
    <t>Retool(s)</t>
  </si>
  <si>
    <t>Retool Cost</t>
  </si>
  <si>
    <t>Total cost</t>
  </si>
  <si>
    <t>Naval Builds</t>
  </si>
  <si>
    <t>GB</t>
  </si>
  <si>
    <t>DD</t>
  </si>
  <si>
    <t>CA</t>
  </si>
  <si>
    <t>Sub</t>
  </si>
  <si>
    <t>BB</t>
  </si>
  <si>
    <t>Ship Size</t>
  </si>
  <si>
    <t>TTC</t>
  </si>
  <si>
    <t>Ship Types</t>
  </si>
  <si>
    <t>Line</t>
  </si>
  <si>
    <t xml:space="preserve">Total </t>
  </si>
  <si>
    <t>Military Installations</t>
  </si>
  <si>
    <t xml:space="preserve">Total  </t>
  </si>
  <si>
    <t>Normal</t>
  </si>
  <si>
    <t>Economic System</t>
  </si>
  <si>
    <t>Income</t>
  </si>
  <si>
    <t>Cost to recruit</t>
  </si>
  <si>
    <t>Pop:</t>
  </si>
  <si>
    <t>Divs</t>
  </si>
  <si>
    <t>Vol</t>
  </si>
  <si>
    <t>Inf cost</t>
  </si>
  <si>
    <t>Reg Troops</t>
  </si>
  <si>
    <t>Res Troops</t>
  </si>
  <si>
    <t>Investment Data</t>
  </si>
  <si>
    <t>(million)</t>
  </si>
  <si>
    <t>Base $</t>
  </si>
  <si>
    <t>End Cash</t>
  </si>
  <si>
    <t>Inf</t>
  </si>
  <si>
    <t>V2.1</t>
  </si>
  <si>
    <t xml:space="preserve">Balance </t>
  </si>
  <si>
    <t>País</t>
  </si>
  <si>
    <t>Población (millones)</t>
  </si>
  <si>
    <t>Población Tasable (millones):</t>
  </si>
  <si>
    <t>Nivel Económico (I.D.H):</t>
  </si>
  <si>
    <t>Ingresos:</t>
  </si>
  <si>
    <t>Recesión</t>
  </si>
  <si>
    <t>Estancado</t>
  </si>
  <si>
    <t>Fallido</t>
  </si>
  <si>
    <t>Próspero</t>
  </si>
  <si>
    <t>Exitoso</t>
  </si>
  <si>
    <t>Boom</t>
  </si>
  <si>
    <t>Nacionales:</t>
  </si>
  <si>
    <t>Colonial/Ferrocarril</t>
  </si>
  <si>
    <t>Saldo anterior presupuesto:</t>
  </si>
  <si>
    <t>Mantenimiento:</t>
  </si>
  <si>
    <t>Año:</t>
  </si>
  <si>
    <t>Crec:</t>
  </si>
  <si>
    <t>Creditos en Vigor</t>
  </si>
  <si>
    <t>Pago de Intereses</t>
  </si>
  <si>
    <t>Calif. Deuda:</t>
  </si>
  <si>
    <t>Intereses</t>
  </si>
  <si>
    <t>Nacional</t>
  </si>
  <si>
    <t>Ultramar</t>
  </si>
  <si>
    <t>Producción Total:</t>
  </si>
  <si>
    <t>Necesidades:</t>
  </si>
  <si>
    <t>Tabla de precios</t>
  </si>
  <si>
    <t>Compra</t>
  </si>
  <si>
    <t>Venta</t>
  </si>
  <si>
    <t>Mercado Mundial</t>
  </si>
  <si>
    <t>Mercado Cautivo</t>
  </si>
  <si>
    <t>Bienes</t>
  </si>
  <si>
    <t>Comida</t>
  </si>
  <si>
    <t>Exóticos</t>
  </si>
  <si>
    <t>Mat. Primas</t>
  </si>
  <si>
    <t>Carbón</t>
  </si>
  <si>
    <t>Hierro</t>
  </si>
  <si>
    <t>Petroleo*</t>
  </si>
  <si>
    <t>* - No disponible hasta 1905</t>
  </si>
  <si>
    <t>Mat Primas</t>
  </si>
  <si>
    <t>Balance Neto</t>
  </si>
  <si>
    <t>Recursos en Mercados Cautivos</t>
  </si>
  <si>
    <t>Les compramos</t>
  </si>
  <si>
    <t>Les vendemos</t>
  </si>
  <si>
    <t>Compras no cubiertas</t>
  </si>
  <si>
    <t>Ventas no cubiertas</t>
  </si>
  <si>
    <t>Si el valor es distinto de cero la demanda no habrá sido cubierta resultando en problemas políticos y/o posibles contracciones del mercado.</t>
  </si>
  <si>
    <t>Mercados Cautivos</t>
  </si>
  <si>
    <t>Balance</t>
  </si>
  <si>
    <t>(Exportaciones/Ventas/Envíos)</t>
  </si>
  <si>
    <t>(Importaciones/Compras/Recepciones)</t>
  </si>
  <si>
    <t>Balance de recursos</t>
  </si>
  <si>
    <t>Producción de Bienes</t>
  </si>
  <si>
    <t>Usando 1 Ind + 1 Mat Prima</t>
  </si>
  <si>
    <t>Usando 2 Ind + 1 Carbón + 1 Hiero</t>
  </si>
  <si>
    <t>1 Industria Pesada (IP) = 1 Ind+1 Hierro+ 1 Carbón</t>
  </si>
  <si>
    <t>Exóticos = 1 Ind + 6 $</t>
  </si>
  <si>
    <t>Coste</t>
  </si>
  <si>
    <t>Probabilidad de éxito</t>
  </si>
  <si>
    <t>% Increm.</t>
  </si>
  <si>
    <t>Si</t>
  </si>
  <si>
    <t>¿FFCC?</t>
  </si>
  <si>
    <t>FFCC</t>
  </si>
  <si>
    <t>Años</t>
  </si>
  <si>
    <t>IP</t>
  </si>
  <si>
    <t>País/Inversión</t>
  </si>
  <si>
    <t>¿Invertir?</t>
  </si>
  <si>
    <t>Inversión</t>
  </si>
  <si>
    <t>Tecnología</t>
  </si>
  <si>
    <t>Inicio</t>
  </si>
  <si>
    <t>Fin</t>
  </si>
  <si>
    <t>Sintéticos I</t>
  </si>
  <si>
    <t>IP Disponible</t>
  </si>
  <si>
    <t>Bienes/IP</t>
  </si>
  <si>
    <t>Efectivo</t>
  </si>
  <si>
    <t>Industria</t>
  </si>
  <si>
    <t>Balance efectivo</t>
  </si>
  <si>
    <t>Gastos</t>
  </si>
  <si>
    <t>Marina</t>
  </si>
  <si>
    <t>Ejercito</t>
  </si>
  <si>
    <t>Equipamiento Ejercito</t>
  </si>
  <si>
    <t xml:space="preserve"> (hasta 8 puntos por línea)</t>
  </si>
  <si>
    <t>Linea 1</t>
  </si>
  <si>
    <t>Linea 2</t>
  </si>
  <si>
    <t>Linea 3</t>
  </si>
  <si>
    <t>Linea 4</t>
  </si>
  <si>
    <t>AL</t>
  </si>
  <si>
    <t>AM</t>
  </si>
  <si>
    <t>Tec</t>
  </si>
  <si>
    <t>AC</t>
  </si>
  <si>
    <t>AA</t>
  </si>
  <si>
    <t>Puntos usados</t>
  </si>
  <si>
    <t>(AL) Armas Ligeras D</t>
  </si>
  <si>
    <t>(AM) Ametralladoras D</t>
  </si>
  <si>
    <t>(AC) Artillería de Campaña D</t>
  </si>
  <si>
    <t>(AA) Artilería de Asedio D</t>
  </si>
  <si>
    <t>(Ac) Acorazados D</t>
  </si>
  <si>
    <t>(Cr) Cruceros D</t>
  </si>
  <si>
    <t>(BM) Buques Menores D</t>
  </si>
  <si>
    <t>(Su) Submarinos D</t>
  </si>
  <si>
    <t>Inf Reg</t>
  </si>
  <si>
    <t>Inf Res</t>
  </si>
  <si>
    <t>Art Campaña</t>
  </si>
  <si>
    <t>Art Asedio</t>
  </si>
  <si>
    <t>Fza Laboral</t>
  </si>
  <si>
    <t>Coste reclutamiento personal básico por unidad</t>
  </si>
  <si>
    <t>Total Módulos Navales</t>
  </si>
  <si>
    <t>Nueva Construcción</t>
  </si>
  <si>
    <t>Tamaño</t>
  </si>
  <si>
    <t>Cantidad</t>
  </si>
  <si>
    <t>Módulos usados</t>
  </si>
  <si>
    <t>Acorazado</t>
  </si>
  <si>
    <t>Crucero</t>
  </si>
  <si>
    <t>Destructor</t>
  </si>
  <si>
    <t>Cañonera</t>
  </si>
  <si>
    <t>Submarino</t>
  </si>
  <si>
    <t>Transporte</t>
  </si>
  <si>
    <t>Dique seco</t>
  </si>
  <si>
    <t>Años por completar</t>
  </si>
  <si>
    <t>Instalaciones Militares:</t>
  </si>
  <si>
    <t>Tipo</t>
  </si>
  <si>
    <t>Localización</t>
  </si>
  <si>
    <t>Otros gastos</t>
  </si>
  <si>
    <t>Descripción</t>
  </si>
  <si>
    <t>Coste ($)</t>
  </si>
  <si>
    <t>Fuerte</t>
  </si>
  <si>
    <t>Fortaleza</t>
  </si>
  <si>
    <t>Puerto</t>
  </si>
  <si>
    <t>Astillero</t>
  </si>
  <si>
    <t>Inf res</t>
  </si>
  <si>
    <t>Información Militar</t>
  </si>
  <si>
    <t>Info Ejército</t>
  </si>
  <si>
    <t>Total Mantenimiento Militar:</t>
  </si>
  <si>
    <t>Ejerc</t>
  </si>
  <si>
    <t>Fza Lab</t>
  </si>
  <si>
    <t>Instalaciones</t>
  </si>
  <si>
    <t>Eficiencia Militar</t>
  </si>
  <si>
    <t>Cuerpo Voluntarios:</t>
  </si>
  <si>
    <t xml:space="preserve">Mobilization: </t>
  </si>
  <si>
    <t>Entrenamiento Ejercito</t>
  </si>
  <si>
    <t>Notas</t>
  </si>
  <si>
    <t>Regulares</t>
  </si>
  <si>
    <t>Reserva</t>
  </si>
  <si>
    <t xml:space="preserve">Costes de mobilización anual </t>
  </si>
  <si>
    <t>Guerra Total</t>
  </si>
  <si>
    <t>Conflicto Transfonterizo</t>
  </si>
  <si>
    <t>Expediciones coloniales</t>
  </si>
  <si>
    <t>Ac</t>
  </si>
  <si>
    <t>Cr</t>
  </si>
  <si>
    <t>Su</t>
  </si>
  <si>
    <t>Destruc</t>
  </si>
  <si>
    <t>Coste Entrenamiento Naval</t>
  </si>
  <si>
    <t>Coste de Entrenamiento Ejército:</t>
  </si>
  <si>
    <t>Modulos Navales</t>
  </si>
  <si>
    <t>Mant. Marina</t>
  </si>
  <si>
    <t>Entrenamiento Marina</t>
  </si>
  <si>
    <t>Pais</t>
  </si>
  <si>
    <t>Puertos</t>
  </si>
  <si>
    <t>Otros</t>
  </si>
  <si>
    <t>Astilleros</t>
  </si>
  <si>
    <t>Fuertes</t>
  </si>
  <si>
    <t>Fortalezas</t>
  </si>
  <si>
    <t>Metropoli</t>
  </si>
  <si>
    <t>No factorizado automáticamente - deberá ser adquirido en la linea correspondiente de comercio.</t>
  </si>
  <si>
    <t>Aportan</t>
  </si>
  <si>
    <t>Necesitan</t>
  </si>
  <si>
    <t>Dispone</t>
  </si>
  <si>
    <t>Necesita</t>
  </si>
  <si>
    <t>Recurso</t>
  </si>
  <si>
    <t>Proyecto</t>
  </si>
  <si>
    <t>Ingresa</t>
  </si>
  <si>
    <t>Economía</t>
  </si>
  <si>
    <t>Comercio y producción</t>
  </si>
  <si>
    <t>Recursos</t>
  </si>
  <si>
    <t>Existentes</t>
  </si>
  <si>
    <t>Disponibles</t>
  </si>
  <si>
    <t>Inversiones disponibles</t>
  </si>
  <si>
    <t>Investigaciones tecnológicas</t>
  </si>
  <si>
    <t>Inversiones en recursos</t>
  </si>
  <si>
    <t>Inversiones infraestructuras</t>
  </si>
  <si>
    <t>Inversiones otros paises (Necesario el permiso del país soberano)</t>
  </si>
  <si>
    <t>Construcción de armamento y unidades militares</t>
  </si>
  <si>
    <t>Info Naval</t>
  </si>
  <si>
    <t>Info Inst Militares</t>
  </si>
  <si>
    <t>Colonias, Mercados e Inversiones Cautivas</t>
  </si>
  <si>
    <t>% Base</t>
  </si>
  <si>
    <t>Japón</t>
  </si>
  <si>
    <t>Media</t>
  </si>
  <si>
    <t>6 sem</t>
  </si>
  <si>
    <t xml:space="preserve"> Osaka, Tokyo </t>
  </si>
  <si>
    <t>nada</t>
  </si>
  <si>
    <t>Mat primas</t>
  </si>
  <si>
    <t>Taiwán</t>
  </si>
  <si>
    <t>Taiwan</t>
  </si>
  <si>
    <t>Siam ('96) Base</t>
  </si>
  <si>
    <t>Yokohama, Osaka, Tokio</t>
  </si>
  <si>
    <t>Yokohama(3), Osaka(2), Tokio (3)</t>
  </si>
  <si>
    <t>Expansión II</t>
  </si>
  <si>
    <t>Expansión I</t>
  </si>
  <si>
    <t>Taipei.</t>
  </si>
  <si>
    <t>Suwakin</t>
  </si>
  <si>
    <t>Medio</t>
  </si>
  <si>
    <t>Peru ('98) Base</t>
  </si>
  <si>
    <t>A lo largo de 1895</t>
  </si>
  <si>
    <t>Harbin-Port Arthur</t>
  </si>
  <si>
    <t>Manchuria (FFCC )</t>
  </si>
  <si>
    <t>Port Arthur</t>
  </si>
  <si>
    <t>Harbin-Mukden</t>
  </si>
  <si>
    <t>Año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</si>
</sst>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6" formatCode="&quot;$&quot;#,##0_);[Red]\(&quot;$&quot;#,##0\)"/>
    <numFmt numFmtId="42" formatCode="_(&quot;$&quot;* #,##0_);_(&quot;$&quot;* \(#,##0\);_(&quot;$&quot;* &quot;-&quot;_);_(@_)"/>
    <numFmt numFmtId="164" formatCode="_-* #,##0.00\ &quot;€&quot;_-;\-* #,##0.00\ &quot;€&quot;_-;_-* &quot;-&quot;??\ &quot;€&quot;_-;_-@_-"/>
    <numFmt numFmtId="165" formatCode="&quot;$&quot;#,##0"/>
    <numFmt numFmtId="166" formatCode="0.0"/>
    <numFmt numFmtId="167" formatCode="0_);[Red]\(0\)"/>
    <numFmt numFmtId="168" formatCode="_-* #,##0\ &quot;€&quot;_-;\-* #,##0\ &quot;€&quot;_-;_-* &quot;-&quot;??\ &quot;€&quot;_-;_-@_-"/>
  </numFmts>
  <fonts count="18" x14ac:knownFonts="1">
    <font>
      <sz val="10"/>
      <color theme="1"/>
      <name val="Arial"/>
      <family val="2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4"/>
      <name val="Times New Roman"/>
      <family val="1"/>
    </font>
    <font>
      <sz val="14"/>
      <color rgb="FFFF0000"/>
      <name val="Times New Roman"/>
      <family val="1"/>
    </font>
    <font>
      <sz val="12"/>
      <color rgb="FFFF0000"/>
      <name val="Times New Roman"/>
      <family val="1"/>
    </font>
    <font>
      <b/>
      <sz val="14"/>
      <name val="Times New Roman"/>
      <family val="1"/>
    </font>
    <font>
      <sz val="11"/>
      <color rgb="FF000000"/>
      <name val="Arial"/>
      <family val="2"/>
    </font>
    <font>
      <b/>
      <sz val="14"/>
      <color theme="0"/>
      <name val="Times New Roman"/>
      <family val="1"/>
    </font>
    <font>
      <sz val="14"/>
      <color rgb="FF00B050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sz val="8"/>
      <name val="Arial"/>
      <family val="2"/>
    </font>
    <font>
      <sz val="10"/>
      <color theme="1"/>
      <name val="Arial"/>
      <family val="2"/>
    </font>
    <font>
      <sz val="12"/>
      <name val="Times New Roman"/>
      <family val="1"/>
    </font>
    <font>
      <b/>
      <sz val="12"/>
      <color theme="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39997558519241921"/>
        <bgColor indexed="64"/>
      </patternFill>
    </fill>
  </fills>
  <borders count="40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/>
      <right/>
      <top/>
      <bottom style="thick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auto="1"/>
      </top>
      <bottom style="thin">
        <color indexed="64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 style="thin">
        <color indexed="64"/>
      </right>
      <top style="medium">
        <color auto="1"/>
      </top>
      <bottom style="thin">
        <color indexed="64"/>
      </bottom>
      <diagonal/>
    </border>
  </borders>
  <cellStyleXfs count="3">
    <xf numFmtId="0" fontId="0" fillId="0" borderId="0"/>
    <xf numFmtId="164" fontId="15" fillId="0" borderId="0" applyFont="0" applyFill="0" applyBorder="0" applyAlignment="0" applyProtection="0"/>
    <xf numFmtId="9" fontId="15" fillId="0" borderId="0" applyFont="0" applyFill="0" applyBorder="0" applyAlignment="0" applyProtection="0"/>
  </cellStyleXfs>
  <cellXfs count="275">
    <xf numFmtId="0" fontId="0" fillId="0" borderId="0" xfId="0"/>
    <xf numFmtId="0" fontId="2" fillId="0" borderId="0" xfId="0" applyFont="1" applyAlignment="1">
      <alignment horizontal="center"/>
    </xf>
    <xf numFmtId="165" fontId="2" fillId="0" borderId="0" xfId="0" applyNumberFormat="1" applyFont="1" applyAlignment="1">
      <alignment horizontal="center"/>
    </xf>
    <xf numFmtId="0" fontId="2" fillId="0" borderId="0" xfId="0" applyFont="1" applyBorder="1" applyAlignment="1">
      <alignment horizontal="center"/>
    </xf>
    <xf numFmtId="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" fillId="2" borderId="4" xfId="0" applyFont="1" applyFill="1" applyBorder="1" applyAlignment="1">
      <alignment horizontal="center"/>
    </xf>
    <xf numFmtId="2" fontId="2" fillId="0" borderId="0" xfId="0" applyNumberFormat="1" applyFont="1" applyAlignment="1">
      <alignment horizontal="center"/>
    </xf>
    <xf numFmtId="166" fontId="2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right"/>
    </xf>
    <xf numFmtId="165" fontId="2" fillId="0" borderId="0" xfId="0" applyNumberFormat="1" applyFont="1" applyFill="1" applyBorder="1" applyAlignment="1">
      <alignment horizontal="center"/>
    </xf>
    <xf numFmtId="6" fontId="2" fillId="0" borderId="0" xfId="0" applyNumberFormat="1" applyFont="1" applyFill="1" applyBorder="1" applyAlignment="1">
      <alignment horizontal="center"/>
    </xf>
    <xf numFmtId="165" fontId="1" fillId="0" borderId="0" xfId="0" applyNumberFormat="1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Fill="1" applyBorder="1" applyAlignment="1">
      <alignment horizontal="left"/>
    </xf>
    <xf numFmtId="0" fontId="0" fillId="0" borderId="0" xfId="0" applyFill="1" applyAlignment="1">
      <alignment horizontal="left"/>
    </xf>
    <xf numFmtId="0" fontId="1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2" fillId="0" borderId="23" xfId="0" applyFont="1" applyBorder="1" applyAlignment="1">
      <alignment horizontal="center"/>
    </xf>
    <xf numFmtId="0" fontId="5" fillId="0" borderId="0" xfId="0" applyFont="1" applyFill="1" applyAlignment="1">
      <alignment horizontal="center"/>
    </xf>
    <xf numFmtId="6" fontId="5" fillId="0" borderId="0" xfId="0" applyNumberFormat="1" applyFont="1" applyFill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/>
    <xf numFmtId="42" fontId="0" fillId="0" borderId="0" xfId="0" applyNumberFormat="1"/>
    <xf numFmtId="0" fontId="2" fillId="0" borderId="0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center"/>
    </xf>
    <xf numFmtId="0" fontId="9" fillId="0" borderId="0" xfId="0" applyFont="1" applyFill="1" applyBorder="1"/>
    <xf numFmtId="9" fontId="2" fillId="0" borderId="0" xfId="0" applyNumberFormat="1" applyFont="1" applyFill="1" applyBorder="1" applyAlignment="1">
      <alignment horizontal="center"/>
    </xf>
    <xf numFmtId="6" fontId="2" fillId="0" borderId="0" xfId="0" applyNumberFormat="1" applyFont="1" applyFill="1" applyBorder="1" applyAlignment="1">
      <alignment horizontal="left"/>
    </xf>
    <xf numFmtId="0" fontId="0" fillId="0" borderId="0" xfId="0" applyFill="1" applyBorder="1"/>
    <xf numFmtId="0" fontId="2" fillId="5" borderId="4" xfId="0" applyFont="1" applyFill="1" applyBorder="1" applyAlignment="1">
      <alignment horizontal="center"/>
    </xf>
    <xf numFmtId="1" fontId="2" fillId="5" borderId="4" xfId="0" applyNumberFormat="1" applyFont="1" applyFill="1" applyBorder="1" applyAlignment="1">
      <alignment horizontal="center"/>
    </xf>
    <xf numFmtId="0" fontId="2" fillId="5" borderId="12" xfId="0" applyFont="1" applyFill="1" applyBorder="1" applyAlignment="1">
      <alignment horizontal="center"/>
    </xf>
    <xf numFmtId="6" fontId="2" fillId="5" borderId="4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0" fontId="13" fillId="0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left"/>
    </xf>
    <xf numFmtId="0" fontId="1" fillId="5" borderId="4" xfId="0" applyFont="1" applyFill="1" applyBorder="1" applyAlignment="1">
      <alignment horizontal="center"/>
    </xf>
    <xf numFmtId="0" fontId="1" fillId="5" borderId="5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2" fontId="1" fillId="5" borderId="4" xfId="0" applyNumberFormat="1" applyFont="1" applyFill="1" applyBorder="1" applyAlignment="1">
      <alignment horizontal="center"/>
    </xf>
    <xf numFmtId="165" fontId="1" fillId="5" borderId="4" xfId="0" applyNumberFormat="1" applyFont="1" applyFill="1" applyBorder="1" applyAlignment="1">
      <alignment horizontal="center"/>
    </xf>
    <xf numFmtId="165" fontId="1" fillId="2" borderId="4" xfId="0" applyNumberFormat="1" applyFont="1" applyFill="1" applyBorder="1" applyAlignment="1">
      <alignment horizontal="center"/>
    </xf>
    <xf numFmtId="0" fontId="1" fillId="5" borderId="16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left"/>
    </xf>
    <xf numFmtId="0" fontId="1" fillId="5" borderId="14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right"/>
    </xf>
    <xf numFmtId="165" fontId="1" fillId="5" borderId="16" xfId="0" applyNumberFormat="1" applyFont="1" applyFill="1" applyBorder="1" applyAlignment="1">
      <alignment horizontal="center"/>
    </xf>
    <xf numFmtId="3" fontId="1" fillId="5" borderId="16" xfId="0" applyNumberFormat="1" applyFont="1" applyFill="1" applyBorder="1" applyAlignment="1">
      <alignment horizontal="center"/>
    </xf>
    <xf numFmtId="6" fontId="1" fillId="5" borderId="4" xfId="0" applyNumberFormat="1" applyFont="1" applyFill="1" applyBorder="1" applyAlignment="1">
      <alignment horizontal="center"/>
    </xf>
    <xf numFmtId="0" fontId="1" fillId="5" borderId="16" xfId="0" applyFont="1" applyFill="1" applyBorder="1" applyAlignment="1">
      <alignment horizontal="center" wrapText="1"/>
    </xf>
    <xf numFmtId="0" fontId="1" fillId="5" borderId="20" xfId="0" applyFont="1" applyFill="1" applyBorder="1" applyAlignment="1">
      <alignment horizontal="center" wrapText="1"/>
    </xf>
    <xf numFmtId="0" fontId="1" fillId="5" borderId="19" xfId="0" applyFont="1" applyFill="1" applyBorder="1" applyAlignment="1">
      <alignment horizontal="center" wrapText="1"/>
    </xf>
    <xf numFmtId="0" fontId="1" fillId="5" borderId="20" xfId="0" applyFont="1" applyFill="1" applyBorder="1" applyAlignment="1">
      <alignment horizontal="center"/>
    </xf>
    <xf numFmtId="0" fontId="1" fillId="5" borderId="19" xfId="0" applyFont="1" applyFill="1" applyBorder="1" applyAlignment="1">
      <alignment horizontal="center"/>
    </xf>
    <xf numFmtId="0" fontId="16" fillId="5" borderId="20" xfId="0" applyFont="1" applyFill="1" applyBorder="1" applyAlignment="1">
      <alignment horizontal="center" wrapText="1"/>
    </xf>
    <xf numFmtId="0" fontId="16" fillId="5" borderId="19" xfId="0" applyFont="1" applyFill="1" applyBorder="1" applyAlignment="1">
      <alignment horizontal="center" wrapText="1"/>
    </xf>
    <xf numFmtId="0" fontId="1" fillId="5" borderId="9" xfId="0" applyFont="1" applyFill="1" applyBorder="1" applyAlignment="1">
      <alignment horizontal="center"/>
    </xf>
    <xf numFmtId="165" fontId="1" fillId="5" borderId="9" xfId="0" applyNumberFormat="1" applyFont="1" applyFill="1" applyBorder="1" applyAlignment="1">
      <alignment horizontal="center"/>
    </xf>
    <xf numFmtId="168" fontId="2" fillId="5" borderId="4" xfId="0" applyNumberFormat="1" applyFont="1" applyFill="1" applyBorder="1" applyAlignment="1">
      <alignment horizontal="left" indent="1"/>
    </xf>
    <xf numFmtId="168" fontId="2" fillId="5" borderId="12" xfId="0" applyNumberFormat="1" applyFont="1" applyFill="1" applyBorder="1" applyAlignment="1"/>
    <xf numFmtId="42" fontId="0" fillId="5" borderId="12" xfId="0" applyNumberFormat="1" applyFill="1" applyBorder="1"/>
    <xf numFmtId="6" fontId="0" fillId="5" borderId="12" xfId="0" applyNumberFormat="1" applyFill="1" applyBorder="1"/>
    <xf numFmtId="0" fontId="0" fillId="5" borderId="0" xfId="0" applyFill="1"/>
    <xf numFmtId="0" fontId="0" fillId="5" borderId="12" xfId="0" applyFill="1" applyBorder="1"/>
    <xf numFmtId="168" fontId="0" fillId="5" borderId="12" xfId="1" applyNumberFormat="1" applyFont="1" applyFill="1" applyBorder="1"/>
    <xf numFmtId="0" fontId="0" fillId="5" borderId="28" xfId="0" applyFill="1" applyBorder="1" applyAlignment="1">
      <alignment horizontal="center"/>
    </xf>
    <xf numFmtId="0" fontId="0" fillId="5" borderId="29" xfId="0" applyFill="1" applyBorder="1"/>
    <xf numFmtId="0" fontId="0" fillId="5" borderId="30" xfId="0" applyFill="1" applyBorder="1" applyAlignment="1">
      <alignment horizontal="center"/>
    </xf>
    <xf numFmtId="0" fontId="0" fillId="5" borderId="32" xfId="0" applyFill="1" applyBorder="1"/>
    <xf numFmtId="0" fontId="1" fillId="0" borderId="0" xfId="0" applyFont="1" applyFill="1" applyAlignment="1"/>
    <xf numFmtId="0" fontId="17" fillId="0" borderId="0" xfId="0" applyFont="1" applyFill="1" applyAlignment="1"/>
    <xf numFmtId="0" fontId="17" fillId="0" borderId="0" xfId="0" applyFont="1" applyFill="1" applyAlignment="1">
      <alignment horizontal="center"/>
    </xf>
    <xf numFmtId="0" fontId="2" fillId="0" borderId="0" xfId="0" applyFont="1" applyFill="1" applyAlignment="1" applyProtection="1">
      <alignment horizontal="center"/>
    </xf>
    <xf numFmtId="0" fontId="10" fillId="0" borderId="0" xfId="0" applyFont="1" applyFill="1" applyAlignment="1" applyProtection="1">
      <alignment horizontal="center"/>
    </xf>
    <xf numFmtId="0" fontId="2" fillId="5" borderId="4" xfId="0" applyFont="1" applyFill="1" applyBorder="1" applyAlignment="1" applyProtection="1">
      <alignment horizontal="center"/>
    </xf>
    <xf numFmtId="0" fontId="2" fillId="0" borderId="0" xfId="0" applyFont="1" applyFill="1" applyAlignment="1" applyProtection="1">
      <alignment horizontal="left"/>
    </xf>
    <xf numFmtId="2" fontId="2" fillId="5" borderId="4" xfId="0" applyNumberFormat="1" applyFont="1" applyFill="1" applyBorder="1" applyAlignment="1" applyProtection="1">
      <alignment horizontal="center"/>
    </xf>
    <xf numFmtId="165" fontId="2" fillId="5" borderId="4" xfId="0" applyNumberFormat="1" applyFont="1" applyFill="1" applyBorder="1" applyAlignment="1" applyProtection="1">
      <alignment horizontal="center"/>
    </xf>
    <xf numFmtId="165" fontId="6" fillId="0" borderId="0" xfId="0" applyNumberFormat="1" applyFont="1" applyFill="1" applyAlignment="1" applyProtection="1">
      <alignment horizontal="left"/>
    </xf>
    <xf numFmtId="165" fontId="2" fillId="0" borderId="0" xfId="0" applyNumberFormat="1" applyFont="1" applyFill="1" applyAlignment="1" applyProtection="1">
      <alignment horizontal="center"/>
    </xf>
    <xf numFmtId="0" fontId="6" fillId="0" borderId="0" xfId="0" applyFont="1" applyFill="1" applyAlignment="1" applyProtection="1">
      <alignment horizontal="left"/>
    </xf>
    <xf numFmtId="0" fontId="2" fillId="0" borderId="0" xfId="0" applyFont="1" applyFill="1" applyBorder="1" applyAlignment="1" applyProtection="1">
      <alignment horizontal="center"/>
    </xf>
    <xf numFmtId="165" fontId="2" fillId="0" borderId="0" xfId="0" applyNumberFormat="1" applyFont="1" applyFill="1" applyBorder="1" applyAlignment="1" applyProtection="1">
      <alignment horizontal="center"/>
    </xf>
    <xf numFmtId="6" fontId="2" fillId="0" borderId="0" xfId="0" applyNumberFormat="1" applyFont="1" applyFill="1" applyBorder="1" applyAlignment="1" applyProtection="1">
      <alignment horizontal="center"/>
    </xf>
    <xf numFmtId="9" fontId="2" fillId="5" borderId="4" xfId="0" applyNumberFormat="1" applyFont="1" applyFill="1" applyBorder="1" applyAlignment="1" applyProtection="1">
      <alignment horizontal="center"/>
    </xf>
    <xf numFmtId="2" fontId="2" fillId="0" borderId="0" xfId="0" applyNumberFormat="1" applyFont="1" applyFill="1" applyBorder="1" applyAlignment="1" applyProtection="1">
      <alignment horizontal="center"/>
    </xf>
    <xf numFmtId="0" fontId="2" fillId="5" borderId="16" xfId="0" applyFont="1" applyFill="1" applyBorder="1" applyAlignment="1" applyProtection="1">
      <alignment horizontal="center"/>
    </xf>
    <xf numFmtId="165" fontId="2" fillId="5" borderId="16" xfId="0" applyNumberFormat="1" applyFont="1" applyFill="1" applyBorder="1" applyAlignment="1" applyProtection="1">
      <alignment horizontal="center"/>
    </xf>
    <xf numFmtId="1" fontId="2" fillId="5" borderId="4" xfId="0" applyNumberFormat="1" applyFont="1" applyFill="1" applyBorder="1" applyAlignment="1" applyProtection="1">
      <alignment horizontal="center"/>
    </xf>
    <xf numFmtId="0" fontId="12" fillId="5" borderId="18" xfId="0" applyFont="1" applyFill="1" applyBorder="1" applyAlignment="1" applyProtection="1">
      <alignment horizontal="center"/>
    </xf>
    <xf numFmtId="1" fontId="2" fillId="5" borderId="18" xfId="0" applyNumberFormat="1" applyFont="1" applyFill="1" applyBorder="1" applyAlignment="1" applyProtection="1">
      <alignment horizontal="center"/>
    </xf>
    <xf numFmtId="0" fontId="2" fillId="5" borderId="18" xfId="0" applyFont="1" applyFill="1" applyBorder="1" applyAlignment="1" applyProtection="1">
      <alignment horizontal="center"/>
    </xf>
    <xf numFmtId="1" fontId="2" fillId="0" borderId="0" xfId="0" applyNumberFormat="1" applyFont="1" applyFill="1" applyBorder="1" applyAlignment="1" applyProtection="1">
      <alignment horizontal="left"/>
    </xf>
    <xf numFmtId="1" fontId="2" fillId="0" borderId="0" xfId="0" applyNumberFormat="1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left"/>
    </xf>
    <xf numFmtId="167" fontId="2" fillId="5" borderId="4" xfId="0" applyNumberFormat="1" applyFont="1" applyFill="1" applyBorder="1" applyAlignment="1" applyProtection="1">
      <alignment horizontal="center"/>
    </xf>
    <xf numFmtId="1" fontId="2" fillId="0" borderId="0" xfId="0" applyNumberFormat="1" applyFont="1" applyFill="1" applyAlignment="1" applyProtection="1">
      <alignment horizontal="center"/>
    </xf>
    <xf numFmtId="0" fontId="2" fillId="5" borderId="12" xfId="0" applyFont="1" applyFill="1" applyBorder="1" applyAlignment="1" applyProtection="1">
      <alignment horizontal="center"/>
    </xf>
    <xf numFmtId="0" fontId="2" fillId="5" borderId="21" xfId="0" applyFont="1" applyFill="1" applyBorder="1" applyAlignment="1" applyProtection="1">
      <alignment horizontal="center"/>
    </xf>
    <xf numFmtId="0" fontId="2" fillId="5" borderId="13" xfId="0" applyFont="1" applyFill="1" applyBorder="1" applyAlignment="1" applyProtection="1">
      <alignment horizontal="center"/>
    </xf>
    <xf numFmtId="167" fontId="2" fillId="5" borderId="15" xfId="0" applyNumberFormat="1" applyFont="1" applyFill="1" applyBorder="1" applyAlignment="1" applyProtection="1">
      <alignment horizontal="center"/>
    </xf>
    <xf numFmtId="0" fontId="6" fillId="0" borderId="0" xfId="0" applyFont="1" applyFill="1" applyAlignment="1" applyProtection="1">
      <alignment horizontal="center"/>
    </xf>
    <xf numFmtId="167" fontId="2" fillId="0" borderId="0" xfId="0" applyNumberFormat="1" applyFont="1" applyFill="1" applyAlignment="1" applyProtection="1">
      <alignment horizontal="center"/>
    </xf>
    <xf numFmtId="6" fontId="2" fillId="5" borderId="4" xfId="0" applyNumberFormat="1" applyFont="1" applyFill="1" applyBorder="1" applyAlignment="1" applyProtection="1">
      <alignment horizontal="center"/>
    </xf>
    <xf numFmtId="0" fontId="2" fillId="2" borderId="4" xfId="0" applyFont="1" applyFill="1" applyBorder="1" applyAlignment="1" applyProtection="1">
      <alignment horizontal="center"/>
    </xf>
    <xf numFmtId="0" fontId="12" fillId="0" borderId="0" xfId="0" applyFont="1" applyFill="1" applyAlignment="1" applyProtection="1"/>
    <xf numFmtId="0" fontId="2" fillId="0" borderId="0" xfId="0" applyFont="1" applyFill="1" applyAlignment="1" applyProtection="1"/>
    <xf numFmtId="0" fontId="11" fillId="0" borderId="0" xfId="0" applyFont="1" applyFill="1" applyAlignment="1" applyProtection="1">
      <alignment horizontal="left"/>
    </xf>
    <xf numFmtId="0" fontId="2" fillId="5" borderId="15" xfId="0" applyFont="1" applyFill="1" applyBorder="1" applyAlignment="1" applyProtection="1">
      <alignment horizontal="center"/>
    </xf>
    <xf numFmtId="165" fontId="2" fillId="5" borderId="15" xfId="0" applyNumberFormat="1" applyFont="1" applyFill="1" applyBorder="1" applyAlignment="1" applyProtection="1">
      <alignment horizontal="center"/>
    </xf>
    <xf numFmtId="0" fontId="12" fillId="0" borderId="0" xfId="0" applyFont="1" applyFill="1" applyAlignment="1" applyProtection="1">
      <alignment horizontal="left"/>
    </xf>
    <xf numFmtId="165" fontId="2" fillId="0" borderId="0" xfId="0" applyNumberFormat="1" applyFont="1" applyFill="1" applyBorder="1" applyAlignment="1" applyProtection="1">
      <alignment horizontal="left"/>
    </xf>
    <xf numFmtId="0" fontId="11" fillId="0" borderId="0" xfId="0" applyFont="1" applyFill="1" applyAlignment="1" applyProtection="1">
      <alignment horizontal="center"/>
    </xf>
    <xf numFmtId="0" fontId="6" fillId="0" borderId="0" xfId="0" applyFont="1" applyFill="1" applyBorder="1" applyAlignment="1" applyProtection="1">
      <alignment horizontal="left"/>
    </xf>
    <xf numFmtId="0" fontId="12" fillId="0" borderId="0" xfId="0" applyFont="1" applyFill="1" applyAlignment="1" applyProtection="1">
      <alignment horizontal="center"/>
    </xf>
    <xf numFmtId="0" fontId="2" fillId="5" borderId="24" xfId="0" applyFont="1" applyFill="1" applyBorder="1" applyAlignment="1" applyProtection="1">
      <alignment horizontal="center"/>
    </xf>
    <xf numFmtId="165" fontId="2" fillId="5" borderId="24" xfId="0" applyNumberFormat="1" applyFont="1" applyFill="1" applyBorder="1" applyAlignment="1" applyProtection="1">
      <alignment horizontal="center"/>
    </xf>
    <xf numFmtId="0" fontId="2" fillId="5" borderId="4" xfId="0" applyFont="1" applyFill="1" applyBorder="1" applyAlignment="1" applyProtection="1">
      <alignment horizontal="right"/>
    </xf>
    <xf numFmtId="0" fontId="2" fillId="5" borderId="5" xfId="0" applyFont="1" applyFill="1" applyBorder="1" applyAlignment="1" applyProtection="1">
      <alignment horizontal="center"/>
    </xf>
    <xf numFmtId="0" fontId="2" fillId="5" borderId="1" xfId="0" applyFont="1" applyFill="1" applyBorder="1" applyAlignment="1" applyProtection="1">
      <alignment horizontal="center"/>
    </xf>
    <xf numFmtId="0" fontId="2" fillId="5" borderId="2" xfId="0" applyFont="1" applyFill="1" applyBorder="1" applyAlignment="1" applyProtection="1">
      <alignment horizontal="center"/>
    </xf>
    <xf numFmtId="0" fontId="2" fillId="5" borderId="7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center"/>
    </xf>
    <xf numFmtId="0" fontId="2" fillId="5" borderId="6" xfId="0" applyFont="1" applyFill="1" applyBorder="1" applyAlignment="1" applyProtection="1">
      <alignment horizontal="center"/>
    </xf>
    <xf numFmtId="0" fontId="2" fillId="5" borderId="8" xfId="0" applyFont="1" applyFill="1" applyBorder="1" applyAlignment="1" applyProtection="1">
      <alignment horizontal="center"/>
    </xf>
    <xf numFmtId="0" fontId="2" fillId="0" borderId="0" xfId="0" quotePrefix="1" applyFont="1" applyFill="1" applyAlignment="1" applyProtection="1">
      <alignment horizontal="left"/>
    </xf>
    <xf numFmtId="0" fontId="2" fillId="0" borderId="1" xfId="0" applyFont="1" applyFill="1" applyBorder="1" applyAlignment="1" applyProtection="1">
      <alignment horizontal="center"/>
    </xf>
    <xf numFmtId="0" fontId="2" fillId="0" borderId="6" xfId="0" applyFont="1" applyFill="1" applyBorder="1" applyAlignment="1" applyProtection="1">
      <alignment horizontal="center"/>
    </xf>
    <xf numFmtId="0" fontId="2" fillId="5" borderId="7" xfId="0" applyFont="1" applyFill="1" applyBorder="1" applyAlignment="1" applyProtection="1">
      <alignment horizontal="left"/>
    </xf>
    <xf numFmtId="0" fontId="12" fillId="0" borderId="0" xfId="0" applyFont="1" applyFill="1" applyBorder="1" applyAlignment="1" applyProtection="1"/>
    <xf numFmtId="0" fontId="2" fillId="0" borderId="0" xfId="0" applyFont="1" applyFill="1" applyBorder="1" applyAlignment="1" applyProtection="1"/>
    <xf numFmtId="0" fontId="2" fillId="5" borderId="4" xfId="0" applyFont="1" applyFill="1" applyBorder="1" applyProtection="1"/>
    <xf numFmtId="0" fontId="2" fillId="5" borderId="4" xfId="0" applyFont="1" applyFill="1" applyBorder="1" applyAlignment="1" applyProtection="1"/>
    <xf numFmtId="0" fontId="2" fillId="0" borderId="0" xfId="0" quotePrefix="1" applyFont="1" applyFill="1" applyAlignment="1" applyProtection="1">
      <alignment horizontal="center"/>
    </xf>
    <xf numFmtId="0" fontId="2" fillId="3" borderId="12" xfId="0" applyFont="1" applyFill="1" applyBorder="1" applyAlignment="1" applyProtection="1">
      <alignment horizontal="left" vertical="center"/>
      <protection locked="0"/>
    </xf>
    <xf numFmtId="167" fontId="2" fillId="3" borderId="12" xfId="0" applyNumberFormat="1" applyFont="1" applyFill="1" applyBorder="1" applyAlignment="1" applyProtection="1">
      <alignment horizontal="center"/>
      <protection locked="0"/>
    </xf>
    <xf numFmtId="167" fontId="2" fillId="3" borderId="13" xfId="0" applyNumberFormat="1" applyFont="1" applyFill="1" applyBorder="1" applyAlignment="1" applyProtection="1">
      <alignment horizont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2" fillId="5" borderId="4" xfId="0" applyFont="1" applyFill="1" applyBorder="1" applyAlignment="1" applyProtection="1">
      <alignment horizontal="center"/>
    </xf>
    <xf numFmtId="0" fontId="2" fillId="0" borderId="0" xfId="0" applyFont="1" applyFill="1" applyAlignment="1" applyProtection="1">
      <alignment horizontal="center"/>
    </xf>
    <xf numFmtId="0" fontId="1" fillId="5" borderId="4" xfId="0" applyFont="1" applyFill="1" applyBorder="1" applyAlignment="1">
      <alignment horizontal="center"/>
    </xf>
    <xf numFmtId="0" fontId="2" fillId="5" borderId="12" xfId="0" applyFont="1" applyFill="1" applyBorder="1" applyAlignment="1"/>
    <xf numFmtId="6" fontId="2" fillId="5" borderId="12" xfId="0" applyNumberFormat="1" applyFont="1" applyFill="1" applyBorder="1" applyAlignment="1">
      <alignment horizontal="center"/>
    </xf>
    <xf numFmtId="9" fontId="2" fillId="5" borderId="12" xfId="2" applyFont="1" applyFill="1" applyBorder="1" applyAlignment="1">
      <alignment horizontal="center"/>
    </xf>
    <xf numFmtId="167" fontId="2" fillId="3" borderId="4" xfId="0" applyNumberFormat="1" applyFont="1" applyFill="1" applyBorder="1" applyAlignment="1" applyProtection="1">
      <alignment horizontal="center"/>
      <protection locked="0"/>
    </xf>
    <xf numFmtId="0" fontId="2" fillId="3" borderId="4" xfId="0" applyFont="1" applyFill="1" applyBorder="1" applyAlignment="1" applyProtection="1">
      <alignment horizontal="center"/>
      <protection locked="0"/>
    </xf>
    <xf numFmtId="0" fontId="2" fillId="3" borderId="4" xfId="0" applyFont="1" applyFill="1" applyBorder="1" applyAlignment="1" applyProtection="1">
      <alignment horizontal="left"/>
      <protection locked="0"/>
    </xf>
    <xf numFmtId="6" fontId="2" fillId="3" borderId="4" xfId="0" applyNumberFormat="1" applyFont="1" applyFill="1" applyBorder="1" applyAlignment="1" applyProtection="1">
      <alignment horizontal="center"/>
      <protection locked="0"/>
    </xf>
    <xf numFmtId="1" fontId="5" fillId="3" borderId="4" xfId="0" applyNumberFormat="1" applyFont="1" applyFill="1" applyBorder="1" applyAlignment="1" applyProtection="1">
      <alignment horizontal="center"/>
      <protection locked="0"/>
    </xf>
    <xf numFmtId="0" fontId="5" fillId="3" borderId="4" xfId="0" applyFont="1" applyFill="1" applyBorder="1" applyAlignment="1" applyProtection="1">
      <alignment horizontal="center"/>
      <protection locked="0"/>
    </xf>
    <xf numFmtId="6" fontId="2" fillId="3" borderId="4" xfId="0" applyNumberFormat="1" applyFont="1" applyFill="1" applyBorder="1" applyAlignment="1" applyProtection="1">
      <alignment horizontal="center" vertical="center" wrapText="1"/>
      <protection locked="0"/>
    </xf>
    <xf numFmtId="165" fontId="1" fillId="5" borderId="10" xfId="0" applyNumberFormat="1" applyFont="1" applyFill="1" applyBorder="1" applyAlignment="1">
      <alignment horizontal="center"/>
    </xf>
    <xf numFmtId="0" fontId="1" fillId="5" borderId="12" xfId="0" applyFont="1" applyFill="1" applyBorder="1" applyAlignment="1">
      <alignment horizontal="center"/>
    </xf>
    <xf numFmtId="0" fontId="1" fillId="5" borderId="34" xfId="0" applyFont="1" applyFill="1" applyBorder="1" applyAlignment="1">
      <alignment horizontal="center"/>
    </xf>
    <xf numFmtId="0" fontId="1" fillId="5" borderId="34" xfId="0" applyFont="1" applyFill="1" applyBorder="1" applyAlignment="1">
      <alignment horizontal="right"/>
    </xf>
    <xf numFmtId="0" fontId="1" fillId="5" borderId="29" xfId="0" applyFont="1" applyFill="1" applyBorder="1" applyAlignment="1">
      <alignment horizontal="center"/>
    </xf>
    <xf numFmtId="0" fontId="0" fillId="5" borderId="2" xfId="0" applyFill="1" applyBorder="1" applyAlignment="1">
      <alignment vertical="top"/>
    </xf>
    <xf numFmtId="0" fontId="0" fillId="5" borderId="7" xfId="0" applyFill="1" applyBorder="1" applyAlignment="1">
      <alignment vertical="top"/>
    </xf>
    <xf numFmtId="0" fontId="0" fillId="5" borderId="8" xfId="0" applyFill="1" applyBorder="1" applyAlignment="1">
      <alignment vertical="top"/>
    </xf>
    <xf numFmtId="165" fontId="1" fillId="5" borderId="28" xfId="0" applyNumberFormat="1" applyFont="1" applyFill="1" applyBorder="1" applyAlignment="1">
      <alignment horizontal="center"/>
    </xf>
    <xf numFmtId="0" fontId="2" fillId="5" borderId="4" xfId="0" applyFont="1" applyFill="1" applyBorder="1" applyAlignment="1" applyProtection="1">
      <alignment horizontal="center"/>
    </xf>
    <xf numFmtId="0" fontId="1" fillId="3" borderId="4" xfId="0" applyFont="1" applyFill="1" applyBorder="1" applyAlignment="1" applyProtection="1">
      <alignment horizontal="center"/>
      <protection locked="0"/>
    </xf>
    <xf numFmtId="168" fontId="0" fillId="5" borderId="31" xfId="1" applyNumberFormat="1" applyFont="1" applyFill="1" applyBorder="1"/>
    <xf numFmtId="0" fontId="2" fillId="5" borderId="4" xfId="0" applyFont="1" applyFill="1" applyBorder="1" applyAlignment="1">
      <alignment horizontal="center"/>
    </xf>
    <xf numFmtId="0" fontId="2" fillId="5" borderId="4" xfId="0" applyFont="1" applyFill="1" applyBorder="1" applyAlignment="1" applyProtection="1">
      <alignment horizontal="center"/>
    </xf>
    <xf numFmtId="0" fontId="2" fillId="5" borderId="4" xfId="0" applyFont="1" applyFill="1" applyBorder="1" applyAlignment="1" applyProtection="1">
      <alignment horizontal="center"/>
    </xf>
    <xf numFmtId="0" fontId="2" fillId="3" borderId="12" xfId="0" applyFont="1" applyFill="1" applyBorder="1" applyAlignment="1" applyProtection="1">
      <alignment horizontal="left" vertical="center" wrapText="1"/>
      <protection locked="0"/>
    </xf>
    <xf numFmtId="42" fontId="0" fillId="5" borderId="0" xfId="0" applyNumberFormat="1" applyFill="1" applyBorder="1"/>
    <xf numFmtId="42" fontId="0" fillId="5" borderId="29" xfId="0" applyNumberFormat="1" applyFill="1" applyBorder="1"/>
    <xf numFmtId="6" fontId="0" fillId="5" borderId="29" xfId="0" applyNumberFormat="1" applyFill="1" applyBorder="1"/>
    <xf numFmtId="42" fontId="0" fillId="5" borderId="31" xfId="0" applyNumberFormat="1" applyFill="1" applyBorder="1"/>
    <xf numFmtId="42" fontId="0" fillId="5" borderId="32" xfId="0" applyNumberFormat="1" applyFill="1" applyBorder="1"/>
    <xf numFmtId="0" fontId="2" fillId="5" borderId="9" xfId="0" applyFont="1" applyFill="1" applyBorder="1" applyAlignment="1" applyProtection="1">
      <alignment horizontal="center"/>
    </xf>
    <xf numFmtId="0" fontId="2" fillId="5" borderId="10" xfId="0" applyFont="1" applyFill="1" applyBorder="1" applyAlignment="1" applyProtection="1">
      <alignment horizontal="center"/>
    </xf>
    <xf numFmtId="0" fontId="2" fillId="5" borderId="11" xfId="0" applyFont="1" applyFill="1" applyBorder="1" applyAlignment="1" applyProtection="1">
      <alignment horizontal="center"/>
    </xf>
    <xf numFmtId="0" fontId="12" fillId="6" borderId="0" xfId="0" applyFont="1" applyFill="1" applyAlignment="1" applyProtection="1">
      <alignment horizontal="center"/>
    </xf>
    <xf numFmtId="0" fontId="2" fillId="0" borderId="0" xfId="0" applyFont="1" applyFill="1" applyBorder="1" applyAlignment="1" applyProtection="1">
      <alignment horizontal="center"/>
    </xf>
    <xf numFmtId="0" fontId="2" fillId="5" borderId="4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 wrapText="1"/>
    </xf>
    <xf numFmtId="0" fontId="2" fillId="5" borderId="16" xfId="0" applyFont="1" applyFill="1" applyBorder="1" applyAlignment="1" applyProtection="1">
      <alignment horizontal="center"/>
    </xf>
    <xf numFmtId="0" fontId="2" fillId="0" borderId="0" xfId="0" applyFont="1" applyFill="1" applyAlignment="1" applyProtection="1">
      <alignment horizontal="center"/>
    </xf>
    <xf numFmtId="0" fontId="1" fillId="5" borderId="14" xfId="0" applyFont="1" applyFill="1" applyBorder="1" applyAlignment="1" applyProtection="1">
      <alignment horizontal="center" vertical="center" wrapText="1"/>
    </xf>
    <xf numFmtId="0" fontId="1" fillId="5" borderId="15" xfId="0" applyFont="1" applyFill="1" applyBorder="1" applyAlignment="1" applyProtection="1">
      <alignment horizontal="center" vertical="center" wrapText="1"/>
    </xf>
    <xf numFmtId="0" fontId="2" fillId="5" borderId="6" xfId="0" applyFont="1" applyFill="1" applyBorder="1" applyAlignment="1" applyProtection="1">
      <alignment horizontal="center" wrapText="1"/>
    </xf>
    <xf numFmtId="0" fontId="2" fillId="5" borderId="8" xfId="0" applyFont="1" applyFill="1" applyBorder="1" applyAlignment="1" applyProtection="1">
      <alignment horizontal="center" wrapText="1"/>
    </xf>
    <xf numFmtId="0" fontId="1" fillId="5" borderId="14" xfId="0" applyFont="1" applyFill="1" applyBorder="1" applyAlignment="1" applyProtection="1">
      <alignment horizontal="center" vertical="center"/>
    </xf>
    <xf numFmtId="0" fontId="1" fillId="5" borderId="15" xfId="0" applyFont="1" applyFill="1" applyBorder="1" applyAlignment="1" applyProtection="1">
      <alignment horizontal="center" vertical="center"/>
    </xf>
    <xf numFmtId="0" fontId="2" fillId="5" borderId="1" xfId="0" applyFont="1" applyFill="1" applyBorder="1" applyAlignment="1" applyProtection="1">
      <alignment horizontal="center" wrapText="1"/>
    </xf>
    <xf numFmtId="0" fontId="2" fillId="5" borderId="7" xfId="0" applyFont="1" applyFill="1" applyBorder="1" applyAlignment="1" applyProtection="1">
      <alignment horizontal="center" wrapText="1"/>
    </xf>
    <xf numFmtId="0" fontId="2" fillId="3" borderId="9" xfId="0" applyFont="1" applyFill="1" applyBorder="1" applyAlignment="1" applyProtection="1">
      <alignment horizontal="left" vertical="center" wrapText="1"/>
      <protection locked="0"/>
    </xf>
    <xf numFmtId="0" fontId="2" fillId="3" borderId="10" xfId="0" applyFont="1" applyFill="1" applyBorder="1" applyAlignment="1" applyProtection="1">
      <alignment horizontal="left" vertical="center" wrapText="1"/>
      <protection locked="0"/>
    </xf>
    <xf numFmtId="0" fontId="2" fillId="3" borderId="11" xfId="0" applyFont="1" applyFill="1" applyBorder="1" applyAlignment="1" applyProtection="1">
      <alignment horizontal="left" vertical="center" wrapText="1"/>
      <protection locked="0"/>
    </xf>
    <xf numFmtId="0" fontId="2" fillId="5" borderId="14" xfId="0" applyFont="1" applyFill="1" applyBorder="1" applyAlignment="1" applyProtection="1">
      <alignment horizontal="center" vertical="center"/>
    </xf>
    <xf numFmtId="0" fontId="2" fillId="5" borderId="15" xfId="0" applyFont="1" applyFill="1" applyBorder="1" applyAlignment="1" applyProtection="1">
      <alignment horizontal="center" vertical="center"/>
    </xf>
    <xf numFmtId="0" fontId="2" fillId="3" borderId="9" xfId="0" applyFont="1" applyFill="1" applyBorder="1" applyAlignment="1" applyProtection="1">
      <alignment horizontal="left" vertical="center"/>
      <protection locked="0"/>
    </xf>
    <xf numFmtId="0" fontId="2" fillId="3" borderId="10" xfId="0" applyFont="1" applyFill="1" applyBorder="1" applyAlignment="1" applyProtection="1">
      <alignment horizontal="left" vertical="center"/>
      <protection locked="0"/>
    </xf>
    <xf numFmtId="0" fontId="2" fillId="3" borderId="11" xfId="0" applyFont="1" applyFill="1" applyBorder="1" applyAlignment="1" applyProtection="1">
      <alignment horizontal="left" vertical="center"/>
      <protection locked="0"/>
    </xf>
    <xf numFmtId="0" fontId="2" fillId="3" borderId="9" xfId="0" applyFont="1" applyFill="1" applyBorder="1" applyAlignment="1" applyProtection="1">
      <alignment horizontal="left"/>
      <protection locked="0"/>
    </xf>
    <xf numFmtId="0" fontId="2" fillId="3" borderId="10" xfId="0" applyFont="1" applyFill="1" applyBorder="1" applyAlignment="1" applyProtection="1">
      <alignment horizontal="left"/>
      <protection locked="0"/>
    </xf>
    <xf numFmtId="0" fontId="2" fillId="3" borderId="11" xfId="0" applyFont="1" applyFill="1" applyBorder="1" applyAlignment="1" applyProtection="1">
      <alignment horizontal="left"/>
      <protection locked="0"/>
    </xf>
    <xf numFmtId="0" fontId="1" fillId="5" borderId="4" xfId="0" applyFont="1" applyFill="1" applyBorder="1" applyAlignment="1">
      <alignment horizontal="center"/>
    </xf>
    <xf numFmtId="0" fontId="1" fillId="5" borderId="16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wrapText="1"/>
    </xf>
    <xf numFmtId="0" fontId="1" fillId="5" borderId="0" xfId="0" applyFont="1" applyFill="1" applyBorder="1" applyAlignment="1">
      <alignment horizontal="center" wrapText="1"/>
    </xf>
    <xf numFmtId="0" fontId="1" fillId="3" borderId="9" xfId="0" applyFont="1" applyFill="1" applyBorder="1" applyAlignment="1" applyProtection="1">
      <alignment horizontal="center"/>
      <protection locked="0"/>
    </xf>
    <xf numFmtId="0" fontId="1" fillId="3" borderId="10" xfId="0" applyFont="1" applyFill="1" applyBorder="1" applyAlignment="1" applyProtection="1">
      <alignment horizontal="center"/>
      <protection locked="0"/>
    </xf>
    <xf numFmtId="0" fontId="1" fillId="3" borderId="11" xfId="0" applyFont="1" applyFill="1" applyBorder="1" applyAlignment="1" applyProtection="1">
      <alignment horizontal="center"/>
      <protection locked="0"/>
    </xf>
    <xf numFmtId="0" fontId="1" fillId="5" borderId="5" xfId="0" applyFont="1" applyFill="1" applyBorder="1" applyAlignment="1">
      <alignment horizontal="left" vertical="top" wrapText="1"/>
    </xf>
    <xf numFmtId="0" fontId="1" fillId="5" borderId="1" xfId="0" applyFont="1" applyFill="1" applyBorder="1" applyAlignment="1">
      <alignment horizontal="left" vertical="top" wrapText="1"/>
    </xf>
    <xf numFmtId="0" fontId="1" fillId="5" borderId="6" xfId="0" applyFont="1" applyFill="1" applyBorder="1" applyAlignment="1">
      <alignment horizontal="left" vertical="top" wrapText="1"/>
    </xf>
    <xf numFmtId="0" fontId="1" fillId="5" borderId="2" xfId="0" applyFont="1" applyFill="1" applyBorder="1" applyAlignment="1">
      <alignment horizontal="left" vertical="top" wrapText="1"/>
    </xf>
    <xf numFmtId="0" fontId="1" fillId="5" borderId="7" xfId="0" applyFont="1" applyFill="1" applyBorder="1" applyAlignment="1">
      <alignment horizontal="left" vertical="top" wrapText="1"/>
    </xf>
    <xf numFmtId="0" fontId="1" fillId="5" borderId="8" xfId="0" applyFont="1" applyFill="1" applyBorder="1" applyAlignment="1">
      <alignment horizontal="left" vertical="top" wrapText="1"/>
    </xf>
    <xf numFmtId="0" fontId="1" fillId="5" borderId="5" xfId="0" applyFont="1" applyFill="1" applyBorder="1" applyAlignment="1">
      <alignment horizontal="left" vertical="top"/>
    </xf>
    <xf numFmtId="0" fontId="0" fillId="5" borderId="1" xfId="0" applyFill="1" applyBorder="1" applyAlignment="1">
      <alignment horizontal="left" vertical="top"/>
    </xf>
    <xf numFmtId="0" fontId="0" fillId="5" borderId="6" xfId="0" applyFill="1" applyBorder="1" applyAlignment="1">
      <alignment horizontal="left" vertical="top"/>
    </xf>
    <xf numFmtId="0" fontId="0" fillId="5" borderId="2" xfId="0" applyFill="1" applyBorder="1" applyAlignment="1">
      <alignment horizontal="left" vertical="top"/>
    </xf>
    <xf numFmtId="0" fontId="0" fillId="5" borderId="7" xfId="0" applyFill="1" applyBorder="1" applyAlignment="1">
      <alignment horizontal="left" vertical="top"/>
    </xf>
    <xf numFmtId="0" fontId="0" fillId="5" borderId="8" xfId="0" applyFill="1" applyBorder="1" applyAlignment="1">
      <alignment horizontal="left" vertical="top"/>
    </xf>
    <xf numFmtId="0" fontId="1" fillId="5" borderId="14" xfId="0" applyFont="1" applyFill="1" applyBorder="1" applyAlignment="1">
      <alignment horizontal="center"/>
    </xf>
    <xf numFmtId="0" fontId="1" fillId="5" borderId="35" xfId="0" applyFont="1" applyFill="1" applyBorder="1" applyAlignment="1">
      <alignment horizontal="left"/>
    </xf>
    <xf numFmtId="0" fontId="0" fillId="5" borderId="33" xfId="0" applyFill="1" applyBorder="1" applyAlignment="1">
      <alignment horizontal="left"/>
    </xf>
    <xf numFmtId="0" fontId="0" fillId="5" borderId="36" xfId="0" applyFill="1" applyBorder="1" applyAlignment="1">
      <alignment horizontal="left"/>
    </xf>
    <xf numFmtId="0" fontId="1" fillId="5" borderId="3" xfId="0" applyFont="1" applyFill="1" applyBorder="1" applyAlignment="1">
      <alignment horizontal="left"/>
    </xf>
    <xf numFmtId="0" fontId="0" fillId="5" borderId="0" xfId="0" applyFill="1" applyBorder="1" applyAlignment="1">
      <alignment horizontal="left"/>
    </xf>
    <xf numFmtId="0" fontId="0" fillId="5" borderId="22" xfId="0" applyFill="1" applyBorder="1" applyAlignment="1">
      <alignment horizontal="left"/>
    </xf>
    <xf numFmtId="0" fontId="1" fillId="5" borderId="6" xfId="0" applyFont="1" applyFill="1" applyBorder="1" applyAlignment="1">
      <alignment horizontal="center" wrapText="1"/>
    </xf>
    <xf numFmtId="0" fontId="1" fillId="5" borderId="22" xfId="0" applyFont="1" applyFill="1" applyBorder="1" applyAlignment="1">
      <alignment horizontal="center" wrapText="1"/>
    </xf>
    <xf numFmtId="0" fontId="1" fillId="5" borderId="17" xfId="0" applyFont="1" applyFill="1" applyBorder="1" applyAlignment="1">
      <alignment horizontal="center" vertical="center"/>
    </xf>
    <xf numFmtId="0" fontId="1" fillId="5" borderId="18" xfId="0" applyFont="1" applyFill="1" applyBorder="1" applyAlignment="1">
      <alignment horizontal="center" vertical="center"/>
    </xf>
    <xf numFmtId="0" fontId="1" fillId="5" borderId="37" xfId="0" applyFont="1" applyFill="1" applyBorder="1" applyAlignment="1">
      <alignment horizontal="left"/>
    </xf>
    <xf numFmtId="0" fontId="1" fillId="5" borderId="38" xfId="0" applyFont="1" applyFill="1" applyBorder="1" applyAlignment="1">
      <alignment horizontal="left"/>
    </xf>
    <xf numFmtId="0" fontId="1" fillId="5" borderId="39" xfId="0" applyFont="1" applyFill="1" applyBorder="1" applyAlignment="1">
      <alignment horizontal="left"/>
    </xf>
    <xf numFmtId="0" fontId="17" fillId="6" borderId="0" xfId="0" applyFont="1" applyFill="1" applyAlignment="1">
      <alignment horizontal="center"/>
    </xf>
    <xf numFmtId="0" fontId="1" fillId="5" borderId="2" xfId="0" applyFont="1" applyFill="1" applyBorder="1" applyAlignment="1">
      <alignment horizontal="left"/>
    </xf>
    <xf numFmtId="0" fontId="1" fillId="5" borderId="7" xfId="0" applyFont="1" applyFill="1" applyBorder="1" applyAlignment="1">
      <alignment horizontal="left"/>
    </xf>
    <xf numFmtId="0" fontId="1" fillId="5" borderId="8" xfId="0" applyFont="1" applyFill="1" applyBorder="1" applyAlignment="1">
      <alignment horizontal="left"/>
    </xf>
    <xf numFmtId="0" fontId="1" fillId="5" borderId="0" xfId="0" applyFont="1" applyFill="1" applyBorder="1" applyAlignment="1">
      <alignment horizontal="left"/>
    </xf>
    <xf numFmtId="0" fontId="1" fillId="5" borderId="22" xfId="0" applyFont="1" applyFill="1" applyBorder="1" applyAlignment="1">
      <alignment horizontal="left"/>
    </xf>
    <xf numFmtId="0" fontId="1" fillId="5" borderId="3" xfId="0" applyFont="1" applyFill="1" applyBorder="1" applyAlignment="1">
      <alignment horizontal="left" wrapText="1"/>
    </xf>
    <xf numFmtId="0" fontId="1" fillId="5" borderId="0" xfId="0" applyFont="1" applyFill="1" applyBorder="1" applyAlignment="1">
      <alignment horizontal="left" wrapText="1"/>
    </xf>
    <xf numFmtId="0" fontId="1" fillId="5" borderId="22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/>
    </xf>
    <xf numFmtId="0" fontId="8" fillId="4" borderId="0" xfId="0" applyFont="1" applyFill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 wrapText="1"/>
    </xf>
    <xf numFmtId="0" fontId="2" fillId="5" borderId="9" xfId="0" applyFont="1" applyFill="1" applyBorder="1" applyAlignment="1">
      <alignment horizontal="center"/>
    </xf>
    <xf numFmtId="0" fontId="2" fillId="5" borderId="10" xfId="0" applyFont="1" applyFill="1" applyBorder="1" applyAlignment="1">
      <alignment horizontal="center"/>
    </xf>
    <xf numFmtId="0" fontId="2" fillId="5" borderId="11" xfId="0" applyFont="1" applyFill="1" applyBorder="1" applyAlignment="1">
      <alignment horizontal="center"/>
    </xf>
    <xf numFmtId="0" fontId="2" fillId="5" borderId="35" xfId="0" applyFont="1" applyFill="1" applyBorder="1" applyAlignment="1">
      <alignment horizontal="center"/>
    </xf>
    <xf numFmtId="0" fontId="2" fillId="5" borderId="33" xfId="0" applyFont="1" applyFill="1" applyBorder="1" applyAlignment="1">
      <alignment horizontal="center"/>
    </xf>
    <xf numFmtId="0" fontId="2" fillId="5" borderId="36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 wrapText="1"/>
    </xf>
    <xf numFmtId="0" fontId="0" fillId="5" borderId="28" xfId="0" applyFill="1" applyBorder="1" applyAlignment="1">
      <alignment horizontal="center"/>
    </xf>
    <xf numFmtId="0" fontId="0" fillId="5" borderId="12" xfId="0" applyFill="1" applyBorder="1" applyAlignment="1">
      <alignment horizontal="center"/>
    </xf>
    <xf numFmtId="0" fontId="0" fillId="5" borderId="30" xfId="0" applyFill="1" applyBorder="1" applyAlignment="1">
      <alignment horizontal="center"/>
    </xf>
    <xf numFmtId="0" fontId="0" fillId="5" borderId="31" xfId="0" applyFill="1" applyBorder="1" applyAlignment="1">
      <alignment horizontal="center"/>
    </xf>
    <xf numFmtId="0" fontId="0" fillId="5" borderId="25" xfId="0" applyFill="1" applyBorder="1" applyAlignment="1">
      <alignment horizontal="center"/>
    </xf>
    <xf numFmtId="0" fontId="0" fillId="5" borderId="26" xfId="0" applyFill="1" applyBorder="1" applyAlignment="1">
      <alignment horizontal="center"/>
    </xf>
    <xf numFmtId="0" fontId="0" fillId="5" borderId="27" xfId="0" applyFill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96"/>
  <sheetViews>
    <sheetView showGridLines="0" tabSelected="1" zoomScale="75" zoomScaleNormal="75" workbookViewId="0">
      <selection activeCell="J24" sqref="J24"/>
    </sheetView>
  </sheetViews>
  <sheetFormatPr defaultColWidth="9.1328125" defaultRowHeight="17.649999999999999" x14ac:dyDescent="0.5"/>
  <cols>
    <col min="1" max="1" width="48.53125" style="85" customWidth="1"/>
    <col min="2" max="2" width="12.53125" style="85" customWidth="1"/>
    <col min="3" max="3" width="16.3984375" style="85" bestFit="1" customWidth="1"/>
    <col min="4" max="4" width="12.33203125" style="85" bestFit="1" customWidth="1"/>
    <col min="5" max="5" width="12" style="85" bestFit="1" customWidth="1"/>
    <col min="6" max="6" width="21.6640625" style="85" customWidth="1"/>
    <col min="7" max="7" width="11.6640625" style="85" customWidth="1"/>
    <col min="8" max="8" width="11" style="85" customWidth="1"/>
    <col min="9" max="9" width="12.86328125" style="85" customWidth="1"/>
    <col min="10" max="10" width="10.33203125" style="85" customWidth="1"/>
    <col min="11" max="11" width="12.1328125" style="85" customWidth="1"/>
    <col min="12" max="15" width="9.1328125" style="85"/>
    <col min="16" max="16" width="10.86328125" style="85" bestFit="1" customWidth="1"/>
    <col min="17" max="16384" width="9.1328125" style="85"/>
  </cols>
  <sheetData>
    <row r="1" spans="1:16" x14ac:dyDescent="0.5">
      <c r="A1" s="188" t="s">
        <v>231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</row>
    <row r="2" spans="1:16" ht="18" thickBot="1" x14ac:dyDescent="0.55000000000000004">
      <c r="A2" s="86" t="s">
        <v>6</v>
      </c>
      <c r="B2" s="86" t="s">
        <v>59</v>
      </c>
    </row>
    <row r="3" spans="1:16" ht="18" thickBot="1" x14ac:dyDescent="0.55000000000000004">
      <c r="A3" s="87" t="s">
        <v>61</v>
      </c>
      <c r="B3" s="87" t="s">
        <v>246</v>
      </c>
      <c r="G3" s="87" t="s">
        <v>76</v>
      </c>
      <c r="H3" s="87">
        <v>1896</v>
      </c>
    </row>
    <row r="4" spans="1:16" ht="18" thickBot="1" x14ac:dyDescent="0.55000000000000004">
      <c r="A4" s="87" t="s">
        <v>62</v>
      </c>
      <c r="B4" s="87">
        <v>39.67</v>
      </c>
      <c r="C4" s="88"/>
      <c r="G4" s="87" t="s">
        <v>77</v>
      </c>
      <c r="H4" s="87" t="s">
        <v>261</v>
      </c>
    </row>
    <row r="5" spans="1:16" ht="18" thickBot="1" x14ac:dyDescent="0.55000000000000004">
      <c r="A5" s="87" t="s">
        <v>63</v>
      </c>
      <c r="B5" s="89">
        <f>B4-Militar!P12</f>
        <v>37.700000000000003</v>
      </c>
    </row>
    <row r="6" spans="1:16" ht="18" thickBot="1" x14ac:dyDescent="0.55000000000000004">
      <c r="A6" s="87" t="s">
        <v>64</v>
      </c>
      <c r="B6" s="87" t="s">
        <v>66</v>
      </c>
    </row>
    <row r="7" spans="1:16" ht="18" thickBot="1" x14ac:dyDescent="0.55000000000000004">
      <c r="A7" s="185" t="s">
        <v>65</v>
      </c>
      <c r="B7" s="187"/>
      <c r="G7" s="190" t="s">
        <v>78</v>
      </c>
      <c r="H7" s="190"/>
      <c r="I7" s="90">
        <v>37</v>
      </c>
      <c r="J7" s="91"/>
    </row>
    <row r="8" spans="1:16" ht="18" thickBot="1" x14ac:dyDescent="0.55000000000000004">
      <c r="A8" s="87" t="s">
        <v>72</v>
      </c>
      <c r="B8" s="90">
        <f>(VLOOKUP(B6,Econ_chart,5,FALSE))*B5</f>
        <v>188.5</v>
      </c>
      <c r="C8" s="92"/>
      <c r="G8" s="190" t="s">
        <v>79</v>
      </c>
      <c r="H8" s="190"/>
      <c r="I8" s="90">
        <f>I7*J13</f>
        <v>11.1</v>
      </c>
    </row>
    <row r="9" spans="1:16" ht="18" thickBot="1" x14ac:dyDescent="0.55000000000000004">
      <c r="A9" s="87" t="s">
        <v>73</v>
      </c>
      <c r="B9" s="90">
        <f>Colonias!C7+Ferrocarriles!D1</f>
        <v>33</v>
      </c>
      <c r="C9" s="92"/>
      <c r="H9" s="87" t="s">
        <v>2</v>
      </c>
      <c r="I9" s="90">
        <f>SUM(I7:I8)</f>
        <v>48.1</v>
      </c>
      <c r="J9" s="93"/>
    </row>
    <row r="10" spans="1:16" ht="18" thickBot="1" x14ac:dyDescent="0.55000000000000004">
      <c r="A10" s="87" t="s">
        <v>74</v>
      </c>
      <c r="B10" s="90">
        <v>-48</v>
      </c>
    </row>
    <row r="11" spans="1:16" ht="18" thickBot="1" x14ac:dyDescent="0.55000000000000004">
      <c r="A11" s="87" t="s">
        <v>75</v>
      </c>
      <c r="B11" s="90">
        <f>Militar!O12</f>
        <v>15</v>
      </c>
      <c r="J11" s="94"/>
      <c r="K11" s="191"/>
    </row>
    <row r="12" spans="1:16" ht="19.5" customHeight="1" thickBot="1" x14ac:dyDescent="0.55000000000000004">
      <c r="A12" s="94"/>
      <c r="B12" s="95"/>
      <c r="C12" s="94"/>
      <c r="D12" s="191"/>
      <c r="G12" s="189"/>
      <c r="H12" s="189"/>
      <c r="I12" s="96"/>
      <c r="J12" s="87" t="s">
        <v>81</v>
      </c>
      <c r="K12" s="191"/>
    </row>
    <row r="13" spans="1:16" ht="18" thickBot="1" x14ac:dyDescent="0.55000000000000004">
      <c r="A13" s="94"/>
      <c r="B13" s="95"/>
      <c r="C13" s="94"/>
      <c r="D13" s="191"/>
      <c r="G13" s="190" t="s">
        <v>80</v>
      </c>
      <c r="H13" s="190"/>
      <c r="I13" s="87" t="s">
        <v>22</v>
      </c>
      <c r="J13" s="97">
        <v>0.3</v>
      </c>
      <c r="K13" s="96"/>
    </row>
    <row r="14" spans="1:16" ht="18" thickBot="1" x14ac:dyDescent="0.55000000000000004">
      <c r="A14" s="94"/>
      <c r="B14" s="95"/>
      <c r="C14" s="98"/>
      <c r="D14" s="96"/>
      <c r="H14" s="94"/>
      <c r="I14" s="96"/>
    </row>
    <row r="15" spans="1:16" ht="18" thickBot="1" x14ac:dyDescent="0.55000000000000004">
      <c r="A15" s="87" t="s">
        <v>100</v>
      </c>
      <c r="B15" s="90">
        <f>B8+B9+B10-B11</f>
        <v>158.5</v>
      </c>
    </row>
    <row r="17" spans="1:17" x14ac:dyDescent="0.5">
      <c r="A17" s="85" t="s">
        <v>6</v>
      </c>
      <c r="B17" s="85" t="s">
        <v>6</v>
      </c>
    </row>
    <row r="18" spans="1:17" x14ac:dyDescent="0.5">
      <c r="A18" s="188" t="s">
        <v>233</v>
      </c>
      <c r="B18" s="188"/>
      <c r="C18" s="188"/>
      <c r="D18" s="188"/>
      <c r="E18" s="188"/>
      <c r="F18" s="188"/>
      <c r="G18" s="188"/>
      <c r="H18" s="188"/>
      <c r="I18" s="188"/>
      <c r="J18" s="188"/>
      <c r="K18" s="188"/>
      <c r="L18" s="188"/>
      <c r="M18" s="188"/>
      <c r="N18" s="188"/>
      <c r="O18" s="188"/>
      <c r="P18" s="188"/>
    </row>
    <row r="19" spans="1:17" ht="18" thickBot="1" x14ac:dyDescent="0.55000000000000004"/>
    <row r="20" spans="1:17" ht="18.399999999999999" thickTop="1" thickBot="1" x14ac:dyDescent="0.55000000000000004">
      <c r="A20" s="85" t="s">
        <v>6</v>
      </c>
      <c r="B20" s="87" t="s">
        <v>135</v>
      </c>
      <c r="C20" s="87" t="s">
        <v>92</v>
      </c>
      <c r="D20" s="87" t="s">
        <v>99</v>
      </c>
      <c r="E20" s="87" t="s">
        <v>93</v>
      </c>
      <c r="F20" s="87" t="s">
        <v>95</v>
      </c>
      <c r="G20" s="87" t="s">
        <v>96</v>
      </c>
      <c r="I20" s="192" t="s">
        <v>86</v>
      </c>
      <c r="J20" s="192"/>
      <c r="K20" s="192"/>
      <c r="L20" s="192"/>
      <c r="M20" s="192"/>
      <c r="N20" s="192"/>
    </row>
    <row r="21" spans="1:17" ht="18.399999999999999" thickTop="1" thickBot="1" x14ac:dyDescent="0.55000000000000004">
      <c r="A21" s="87" t="s">
        <v>82</v>
      </c>
      <c r="B21" s="87">
        <v>7</v>
      </c>
      <c r="C21" s="87">
        <v>15</v>
      </c>
      <c r="D21" s="87">
        <v>2</v>
      </c>
      <c r="E21" s="87">
        <v>0</v>
      </c>
      <c r="F21" s="87">
        <v>1</v>
      </c>
      <c r="G21" s="87">
        <v>1</v>
      </c>
      <c r="I21" s="99"/>
      <c r="J21" s="99"/>
      <c r="K21" s="192" t="s">
        <v>89</v>
      </c>
      <c r="L21" s="192"/>
      <c r="M21" s="192" t="s">
        <v>90</v>
      </c>
      <c r="N21" s="192"/>
    </row>
    <row r="22" spans="1:17" ht="18.399999999999999" thickTop="1" thickBot="1" x14ac:dyDescent="0.55000000000000004">
      <c r="A22" s="87" t="s">
        <v>83</v>
      </c>
      <c r="B22" s="87">
        <v>0</v>
      </c>
      <c r="C22" s="87">
        <v>0</v>
      </c>
      <c r="D22" s="87">
        <v>0</v>
      </c>
      <c r="E22" s="87">
        <v>0</v>
      </c>
      <c r="F22" s="87">
        <v>0</v>
      </c>
      <c r="G22" s="87">
        <v>0</v>
      </c>
      <c r="I22" s="99"/>
      <c r="J22" s="99" t="s">
        <v>56</v>
      </c>
      <c r="K22" s="99" t="s">
        <v>87</v>
      </c>
      <c r="L22" s="99" t="s">
        <v>88</v>
      </c>
      <c r="M22" s="99" t="s">
        <v>87</v>
      </c>
      <c r="N22" s="99" t="s">
        <v>88</v>
      </c>
    </row>
    <row r="23" spans="1:17" ht="18.399999999999999" thickTop="1" thickBot="1" x14ac:dyDescent="0.55000000000000004">
      <c r="A23" s="87" t="s">
        <v>84</v>
      </c>
      <c r="B23" s="87">
        <f>SUM(B21:B22)</f>
        <v>7</v>
      </c>
      <c r="C23" s="87">
        <f t="shared" ref="C23:G23" si="0">SUM(C21:C22)</f>
        <v>15</v>
      </c>
      <c r="D23" s="87">
        <f t="shared" si="0"/>
        <v>2</v>
      </c>
      <c r="E23" s="87">
        <f t="shared" si="0"/>
        <v>0</v>
      </c>
      <c r="F23" s="87">
        <f t="shared" si="0"/>
        <v>1</v>
      </c>
      <c r="G23" s="87">
        <f t="shared" si="0"/>
        <v>1</v>
      </c>
      <c r="I23" s="99" t="s">
        <v>91</v>
      </c>
      <c r="J23" s="100">
        <v>25</v>
      </c>
      <c r="K23" s="100">
        <f>J23+(J23*0.3)</f>
        <v>32.5</v>
      </c>
      <c r="L23" s="100">
        <f>J23-(J23*0.3)</f>
        <v>17.5</v>
      </c>
      <c r="M23" s="100">
        <f>J23-(J23*0.2)</f>
        <v>20</v>
      </c>
      <c r="N23" s="100">
        <f>J23+(J23*0.2)</f>
        <v>30</v>
      </c>
    </row>
    <row r="24" spans="1:17" ht="18.399999999999999" thickTop="1" thickBot="1" x14ac:dyDescent="0.55000000000000004">
      <c r="A24" s="87" t="s">
        <v>85</v>
      </c>
      <c r="B24" s="101">
        <f>B4/(VLOOKUP(B6,Econ_chart,2,FALSE))</f>
        <v>5.2893333333333334</v>
      </c>
      <c r="C24" s="101">
        <f>ROUNDUP(B4/(VLOOKUP(B6,Econ_chart,3,FALSE)),0)</f>
        <v>15</v>
      </c>
      <c r="D24" s="101">
        <v>0</v>
      </c>
      <c r="E24" s="101">
        <f>ROUNDUP(B4/(VLOOKUP(B6,Econ_chart,4,FALSE)),0)</f>
        <v>4</v>
      </c>
      <c r="F24" s="101">
        <v>0</v>
      </c>
      <c r="G24" s="101">
        <v>0</v>
      </c>
      <c r="I24" s="99" t="s">
        <v>92</v>
      </c>
      <c r="J24" s="100">
        <v>10</v>
      </c>
      <c r="K24" s="100">
        <f t="shared" ref="K24:K29" si="1">J24+(J24*0.3)</f>
        <v>13</v>
      </c>
      <c r="L24" s="100">
        <f t="shared" ref="L24:L29" si="2">J24-(J24*0.3)</f>
        <v>7</v>
      </c>
      <c r="M24" s="100">
        <f t="shared" ref="M24:M29" si="3">J24-(J24*0.2)</f>
        <v>8</v>
      </c>
      <c r="N24" s="100">
        <f t="shared" ref="N24:N29" si="4">J24+(J24*0.2)</f>
        <v>12</v>
      </c>
    </row>
    <row r="25" spans="1:17" ht="18.399999999999999" thickTop="1" thickBot="1" x14ac:dyDescent="0.55000000000000004">
      <c r="A25" s="102" t="s">
        <v>5</v>
      </c>
      <c r="B25" s="103">
        <f>-B24</f>
        <v>-5.2893333333333334</v>
      </c>
      <c r="C25" s="103">
        <f>C21-C24</f>
        <v>0</v>
      </c>
      <c r="D25" s="104">
        <f>D23</f>
        <v>2</v>
      </c>
      <c r="E25" s="103">
        <f>E23-E24</f>
        <v>-4</v>
      </c>
      <c r="F25" s="104">
        <f>F23</f>
        <v>1</v>
      </c>
      <c r="G25" s="104">
        <f>G23</f>
        <v>1</v>
      </c>
      <c r="I25" s="99" t="s">
        <v>93</v>
      </c>
      <c r="J25" s="100">
        <v>11</v>
      </c>
      <c r="K25" s="100">
        <f t="shared" si="1"/>
        <v>14.3</v>
      </c>
      <c r="L25" s="100">
        <f t="shared" si="2"/>
        <v>7.7</v>
      </c>
      <c r="M25" s="100">
        <f t="shared" si="3"/>
        <v>8.8000000000000007</v>
      </c>
      <c r="N25" s="100">
        <f t="shared" si="4"/>
        <v>13.2</v>
      </c>
    </row>
    <row r="26" spans="1:17" ht="18.399999999999999" thickTop="1" thickBot="1" x14ac:dyDescent="0.55000000000000004">
      <c r="A26" s="94"/>
      <c r="B26" s="105"/>
      <c r="C26" s="106"/>
      <c r="D26" s="106"/>
      <c r="E26" s="106"/>
      <c r="F26" s="106"/>
      <c r="G26" s="106"/>
      <c r="I26" s="99" t="s">
        <v>94</v>
      </c>
      <c r="J26" s="100">
        <v>10</v>
      </c>
      <c r="K26" s="100">
        <f t="shared" si="1"/>
        <v>13</v>
      </c>
      <c r="L26" s="100">
        <f t="shared" si="2"/>
        <v>7</v>
      </c>
      <c r="M26" s="100">
        <f t="shared" si="3"/>
        <v>8</v>
      </c>
      <c r="N26" s="100">
        <f t="shared" si="4"/>
        <v>12</v>
      </c>
    </row>
    <row r="27" spans="1:17" ht="18.399999999999999" thickTop="1" thickBot="1" x14ac:dyDescent="0.55000000000000004">
      <c r="A27" s="94"/>
      <c r="B27" s="107"/>
      <c r="C27" s="94"/>
      <c r="D27" s="94"/>
      <c r="E27" s="94"/>
      <c r="F27" s="94"/>
      <c r="G27" s="94"/>
      <c r="I27" s="99" t="s">
        <v>95</v>
      </c>
      <c r="J27" s="100">
        <v>10</v>
      </c>
      <c r="K27" s="100">
        <f t="shared" si="1"/>
        <v>13</v>
      </c>
      <c r="L27" s="100">
        <f t="shared" si="2"/>
        <v>7</v>
      </c>
      <c r="M27" s="100">
        <f t="shared" si="3"/>
        <v>8</v>
      </c>
      <c r="N27" s="100">
        <f t="shared" si="4"/>
        <v>12</v>
      </c>
    </row>
    <row r="28" spans="1:17" ht="18.399999999999999" thickTop="1" thickBot="1" x14ac:dyDescent="0.55000000000000004">
      <c r="A28" s="94"/>
      <c r="B28" s="106"/>
      <c r="C28" s="106"/>
      <c r="D28" s="106"/>
      <c r="E28" s="106"/>
      <c r="F28" s="106"/>
      <c r="G28" s="106"/>
      <c r="I28" s="99" t="s">
        <v>96</v>
      </c>
      <c r="J28" s="100">
        <v>10</v>
      </c>
      <c r="K28" s="100">
        <f t="shared" si="1"/>
        <v>13</v>
      </c>
      <c r="L28" s="100">
        <f t="shared" si="2"/>
        <v>7</v>
      </c>
      <c r="M28" s="100">
        <f t="shared" si="3"/>
        <v>8</v>
      </c>
      <c r="N28" s="100">
        <f t="shared" si="4"/>
        <v>12</v>
      </c>
    </row>
    <row r="29" spans="1:17" ht="18.399999999999999" thickTop="1" thickBot="1" x14ac:dyDescent="0.55000000000000004">
      <c r="A29" s="94"/>
      <c r="B29" s="106"/>
      <c r="C29" s="106"/>
      <c r="D29" s="106"/>
      <c r="E29" s="106"/>
      <c r="F29" s="106"/>
      <c r="G29" s="106"/>
      <c r="I29" s="99" t="s">
        <v>97</v>
      </c>
      <c r="J29" s="100">
        <v>10</v>
      </c>
      <c r="K29" s="100">
        <f t="shared" si="1"/>
        <v>13</v>
      </c>
      <c r="L29" s="100">
        <f t="shared" si="2"/>
        <v>7</v>
      </c>
      <c r="M29" s="100">
        <f t="shared" si="3"/>
        <v>8</v>
      </c>
      <c r="N29" s="100">
        <f t="shared" si="4"/>
        <v>12</v>
      </c>
      <c r="O29" s="193" t="s">
        <v>98</v>
      </c>
      <c r="P29" s="193"/>
      <c r="Q29" s="193"/>
    </row>
    <row r="30" spans="1:17" ht="18.399999999999999" thickTop="1" thickBot="1" x14ac:dyDescent="0.55000000000000004">
      <c r="L30" s="95"/>
      <c r="M30" s="95"/>
      <c r="N30" s="95"/>
    </row>
    <row r="31" spans="1:17" ht="18" thickBot="1" x14ac:dyDescent="0.55000000000000004">
      <c r="A31" s="87" t="s">
        <v>101</v>
      </c>
      <c r="B31" s="87" t="str">
        <f>Colonias!D6</f>
        <v>Bienes</v>
      </c>
      <c r="C31" s="87" t="str">
        <f>Colonias!E6</f>
        <v>Comida</v>
      </c>
      <c r="D31" s="87" t="str">
        <f>Colonias!F6</f>
        <v>Mat Primas</v>
      </c>
      <c r="E31" s="87" t="str">
        <f>Colonias!G6</f>
        <v>Exóticos</v>
      </c>
      <c r="F31" s="87" t="str">
        <f>Colonias!H6</f>
        <v>Carbón</v>
      </c>
      <c r="G31" s="87" t="str">
        <f>Colonias!I6</f>
        <v>Hierro</v>
      </c>
    </row>
    <row r="32" spans="1:17" ht="18" thickBot="1" x14ac:dyDescent="0.55000000000000004">
      <c r="A32" s="87" t="s">
        <v>102</v>
      </c>
      <c r="B32" s="87">
        <f>SUM(Colonias!D7)</f>
        <v>0</v>
      </c>
      <c r="C32" s="87">
        <f>SUM(Colonias!E7)</f>
        <v>0</v>
      </c>
      <c r="D32" s="87">
        <f>SUM(Colonias!F7)</f>
        <v>0</v>
      </c>
      <c r="E32" s="87">
        <f>SUM(Colonias!G7)</f>
        <v>0</v>
      </c>
      <c r="F32" s="178">
        <f>SUM(Colonias!H7)</f>
        <v>0</v>
      </c>
      <c r="G32" s="87">
        <f>SUM(Colonias!I7)</f>
        <v>0</v>
      </c>
    </row>
    <row r="33" spans="1:16" ht="18" thickBot="1" x14ac:dyDescent="0.55000000000000004">
      <c r="A33" s="87" t="s">
        <v>103</v>
      </c>
      <c r="B33" s="87">
        <f>Colonias!K7</f>
        <v>1</v>
      </c>
      <c r="C33" s="87">
        <f>Colonias!L7</f>
        <v>0</v>
      </c>
      <c r="D33" s="87">
        <f>Colonias!M7</f>
        <v>0</v>
      </c>
      <c r="E33" s="87">
        <f>Colonias!N7</f>
        <v>0</v>
      </c>
      <c r="F33" s="87">
        <f>Colonias!O7</f>
        <v>0</v>
      </c>
      <c r="G33" s="87">
        <f>Colonias!P7</f>
        <v>0</v>
      </c>
      <c r="H33" s="93"/>
    </row>
    <row r="34" spans="1:16" ht="18" thickBot="1" x14ac:dyDescent="0.55000000000000004">
      <c r="A34" s="87" t="s">
        <v>104</v>
      </c>
      <c r="B34" s="108">
        <f>B32-J51</f>
        <v>0</v>
      </c>
      <c r="C34" s="108">
        <f t="shared" ref="C34:G34" si="5">C32-K51</f>
        <v>0</v>
      </c>
      <c r="D34" s="108">
        <f t="shared" si="5"/>
        <v>0</v>
      </c>
      <c r="E34" s="108">
        <f t="shared" si="5"/>
        <v>0</v>
      </c>
      <c r="F34" s="108">
        <f t="shared" si="5"/>
        <v>0</v>
      </c>
      <c r="G34" s="108">
        <f t="shared" si="5"/>
        <v>0</v>
      </c>
      <c r="H34" s="93" t="s">
        <v>223</v>
      </c>
    </row>
    <row r="35" spans="1:16" ht="18" thickBot="1" x14ac:dyDescent="0.55000000000000004">
      <c r="A35" s="87" t="s">
        <v>105</v>
      </c>
      <c r="B35" s="108">
        <f>B33-B51</f>
        <v>1</v>
      </c>
      <c r="C35" s="108">
        <f t="shared" ref="C35:G35" si="6">C33-C51</f>
        <v>0</v>
      </c>
      <c r="D35" s="108">
        <f t="shared" si="6"/>
        <v>0</v>
      </c>
      <c r="E35" s="108">
        <f t="shared" si="6"/>
        <v>0</v>
      </c>
      <c r="F35" s="108">
        <f t="shared" si="6"/>
        <v>0</v>
      </c>
      <c r="G35" s="108">
        <f t="shared" si="6"/>
        <v>0</v>
      </c>
      <c r="H35" s="93" t="s">
        <v>106</v>
      </c>
    </row>
    <row r="36" spans="1:16" x14ac:dyDescent="0.5">
      <c r="I36" s="109"/>
    </row>
    <row r="37" spans="1:16" x14ac:dyDescent="0.5">
      <c r="A37" s="188" t="s">
        <v>232</v>
      </c>
      <c r="B37" s="188"/>
      <c r="C37" s="188"/>
      <c r="D37" s="188"/>
      <c r="E37" s="188"/>
      <c r="F37" s="188"/>
      <c r="G37" s="188"/>
      <c r="H37" s="188"/>
      <c r="I37" s="188"/>
      <c r="J37" s="188"/>
      <c r="K37" s="188"/>
      <c r="L37" s="188"/>
      <c r="M37" s="188"/>
      <c r="N37" s="188"/>
      <c r="O37" s="188"/>
      <c r="P37" s="188"/>
    </row>
    <row r="38" spans="1:16" ht="18" thickBot="1" x14ac:dyDescent="0.55000000000000004"/>
    <row r="39" spans="1:16" ht="18" thickBot="1" x14ac:dyDescent="0.55000000000000004">
      <c r="B39" s="185" t="s">
        <v>109</v>
      </c>
      <c r="C39" s="186"/>
      <c r="D39" s="187"/>
      <c r="J39" s="185" t="s">
        <v>110</v>
      </c>
      <c r="K39" s="186"/>
      <c r="L39" s="186"/>
      <c r="M39" s="187"/>
    </row>
    <row r="40" spans="1:16" x14ac:dyDescent="0.5">
      <c r="A40" s="110" t="s">
        <v>61</v>
      </c>
      <c r="B40" s="111" t="s">
        <v>91</v>
      </c>
      <c r="C40" s="111" t="s">
        <v>92</v>
      </c>
      <c r="D40" s="111" t="s">
        <v>99</v>
      </c>
      <c r="E40" s="110" t="s">
        <v>93</v>
      </c>
      <c r="F40" s="110" t="s">
        <v>95</v>
      </c>
      <c r="G40" s="110" t="s">
        <v>96</v>
      </c>
      <c r="H40" s="110" t="s">
        <v>134</v>
      </c>
      <c r="J40" s="111" t="s">
        <v>91</v>
      </c>
      <c r="K40" s="111" t="s">
        <v>92</v>
      </c>
      <c r="L40" s="111" t="s">
        <v>99</v>
      </c>
      <c r="M40" s="111" t="s">
        <v>93</v>
      </c>
      <c r="N40" s="110" t="s">
        <v>95</v>
      </c>
      <c r="O40" s="110" t="s">
        <v>96</v>
      </c>
      <c r="P40" s="110" t="s">
        <v>134</v>
      </c>
    </row>
    <row r="41" spans="1:16" x14ac:dyDescent="0.5">
      <c r="A41" s="179" t="s">
        <v>254</v>
      </c>
      <c r="B41" s="148"/>
      <c r="C41" s="148"/>
      <c r="D41" s="148"/>
      <c r="E41" s="148"/>
      <c r="F41" s="148"/>
      <c r="G41" s="148"/>
      <c r="H41" s="148">
        <v>11</v>
      </c>
      <c r="J41" s="148"/>
      <c r="K41" s="148"/>
      <c r="L41" s="148"/>
      <c r="M41" s="148">
        <v>1</v>
      </c>
      <c r="N41" s="148"/>
      <c r="O41" s="148"/>
      <c r="P41" s="148"/>
    </row>
    <row r="42" spans="1:16" x14ac:dyDescent="0.5">
      <c r="A42" s="147" t="s">
        <v>262</v>
      </c>
      <c r="B42" s="148"/>
      <c r="C42" s="148"/>
      <c r="D42" s="148"/>
      <c r="E42" s="148"/>
      <c r="F42" s="148"/>
      <c r="G42" s="148"/>
      <c r="H42" s="148">
        <v>10</v>
      </c>
      <c r="J42" s="148"/>
      <c r="K42" s="148"/>
      <c r="L42" s="148">
        <v>1</v>
      </c>
      <c r="M42" s="148"/>
      <c r="N42" s="148"/>
      <c r="O42" s="148"/>
      <c r="P42" s="148"/>
    </row>
    <row r="43" spans="1:16" x14ac:dyDescent="0.5">
      <c r="A43" s="147"/>
      <c r="B43" s="148"/>
      <c r="C43" s="148"/>
      <c r="D43" s="148"/>
      <c r="E43" s="148"/>
      <c r="F43" s="148"/>
      <c r="G43" s="148"/>
      <c r="H43" s="149"/>
      <c r="J43" s="148"/>
      <c r="K43" s="148"/>
      <c r="L43" s="148"/>
      <c r="M43" s="148"/>
      <c r="N43" s="148"/>
      <c r="O43" s="148"/>
      <c r="P43" s="148"/>
    </row>
    <row r="44" spans="1:16" x14ac:dyDescent="0.5">
      <c r="A44" s="147"/>
      <c r="B44" s="148"/>
      <c r="C44" s="148"/>
      <c r="D44" s="148"/>
      <c r="E44" s="148"/>
      <c r="F44" s="148"/>
      <c r="G44" s="148"/>
      <c r="H44" s="149"/>
      <c r="J44" s="148"/>
      <c r="K44" s="148"/>
      <c r="L44" s="148"/>
      <c r="M44" s="148"/>
      <c r="N44" s="148"/>
      <c r="O44" s="148"/>
      <c r="P44" s="148"/>
    </row>
    <row r="45" spans="1:16" x14ac:dyDescent="0.5">
      <c r="A45" s="147"/>
      <c r="B45" s="148"/>
      <c r="C45" s="148"/>
      <c r="D45" s="148"/>
      <c r="E45" s="148"/>
      <c r="F45" s="148"/>
      <c r="G45" s="148"/>
      <c r="H45" s="149"/>
      <c r="J45" s="148"/>
      <c r="K45" s="148"/>
      <c r="L45" s="148"/>
      <c r="M45" s="148"/>
      <c r="N45" s="148"/>
      <c r="O45" s="148"/>
      <c r="P45" s="148"/>
    </row>
    <row r="46" spans="1:16" x14ac:dyDescent="0.5">
      <c r="A46" s="147"/>
      <c r="B46" s="148"/>
      <c r="C46" s="148"/>
      <c r="D46" s="148"/>
      <c r="E46" s="148"/>
      <c r="F46" s="148"/>
      <c r="G46" s="148"/>
      <c r="H46" s="148"/>
      <c r="J46" s="148"/>
      <c r="K46" s="148"/>
      <c r="L46" s="148"/>
      <c r="M46" s="148"/>
      <c r="N46" s="148"/>
      <c r="O46" s="148"/>
      <c r="P46" s="148"/>
    </row>
    <row r="47" spans="1:16" x14ac:dyDescent="0.5">
      <c r="A47" s="147"/>
      <c r="B47" s="148"/>
      <c r="C47" s="148"/>
      <c r="D47" s="148"/>
      <c r="E47" s="148"/>
      <c r="F47" s="148"/>
      <c r="G47" s="148"/>
      <c r="H47" s="149"/>
      <c r="J47" s="148"/>
      <c r="K47" s="148"/>
      <c r="L47" s="148"/>
      <c r="M47" s="148"/>
      <c r="N47" s="148"/>
      <c r="O47" s="148"/>
      <c r="P47" s="148"/>
    </row>
    <row r="48" spans="1:16" x14ac:dyDescent="0.5">
      <c r="A48" s="147"/>
      <c r="B48" s="148"/>
      <c r="C48" s="148"/>
      <c r="D48" s="148"/>
      <c r="E48" s="148"/>
      <c r="F48" s="148"/>
      <c r="G48" s="148"/>
      <c r="H48" s="149"/>
      <c r="J48" s="148"/>
      <c r="K48" s="148"/>
      <c r="L48" s="148"/>
      <c r="M48" s="148"/>
      <c r="N48" s="148"/>
      <c r="O48" s="148"/>
      <c r="P48" s="148"/>
    </row>
    <row r="49" spans="1:17" x14ac:dyDescent="0.5">
      <c r="A49" s="147"/>
      <c r="B49" s="148"/>
      <c r="C49" s="148"/>
      <c r="D49" s="148"/>
      <c r="E49" s="148"/>
      <c r="F49" s="148"/>
      <c r="G49" s="148"/>
      <c r="H49" s="148"/>
      <c r="J49" s="148"/>
      <c r="K49" s="148"/>
      <c r="L49" s="148"/>
      <c r="M49" s="148"/>
      <c r="N49" s="148"/>
      <c r="O49" s="148"/>
      <c r="P49" s="148"/>
    </row>
    <row r="50" spans="1:17" ht="18" thickBot="1" x14ac:dyDescent="0.55000000000000004">
      <c r="A50" s="147"/>
      <c r="B50" s="148"/>
      <c r="C50" s="148"/>
      <c r="D50" s="148"/>
      <c r="E50" s="148"/>
      <c r="F50" s="148"/>
      <c r="G50" s="148"/>
      <c r="H50" s="149"/>
      <c r="J50" s="148"/>
      <c r="K50" s="148"/>
      <c r="L50" s="148"/>
      <c r="M50" s="148"/>
      <c r="N50" s="148"/>
      <c r="O50" s="148"/>
      <c r="P50" s="148"/>
    </row>
    <row r="51" spans="1:17" ht="18" thickBot="1" x14ac:dyDescent="0.55000000000000004">
      <c r="A51" s="110" t="s">
        <v>107</v>
      </c>
      <c r="B51" s="148"/>
      <c r="C51" s="148"/>
      <c r="D51" s="148"/>
      <c r="E51" s="148"/>
      <c r="F51" s="148"/>
      <c r="G51" s="148"/>
      <c r="H51" s="108">
        <f>-((J51*M23)+(K51*M24)+(L51*M26)+(M51*M25)+(N51*M27)+(O51*M28))</f>
        <v>0</v>
      </c>
      <c r="J51" s="148"/>
      <c r="K51" s="148"/>
      <c r="L51" s="148"/>
      <c r="M51" s="148"/>
      <c r="N51" s="148"/>
      <c r="O51" s="148"/>
      <c r="P51" s="108">
        <f>(B51*N23)+(C51*N24)+(D51*N26)+(E51*N25)+(F51*N27)+(G51*N28)</f>
        <v>0</v>
      </c>
    </row>
    <row r="52" spans="1:17" ht="18" thickBot="1" x14ac:dyDescent="0.55000000000000004">
      <c r="A52" s="112" t="s">
        <v>89</v>
      </c>
      <c r="B52" s="148"/>
      <c r="C52" s="148"/>
      <c r="D52" s="148"/>
      <c r="E52" s="148"/>
      <c r="F52" s="148"/>
      <c r="G52" s="148"/>
      <c r="H52" s="108">
        <f>-((J52*K23)+(K52*K24)+(L52*K26)+(M52*K25)+(N52*K27)+(O52*K28))</f>
        <v>0</v>
      </c>
      <c r="J52" s="148"/>
      <c r="K52" s="148"/>
      <c r="L52" s="148"/>
      <c r="M52" s="148"/>
      <c r="N52" s="148"/>
      <c r="O52" s="148"/>
      <c r="P52" s="108">
        <f>-((B52*L23)+(C52*L24)+(D52*L26)+(E52*L25)+(F52*L27)+(G52*L28))</f>
        <v>0</v>
      </c>
    </row>
    <row r="53" spans="1:17" ht="18" thickBot="1" x14ac:dyDescent="0.55000000000000004">
      <c r="A53" s="87" t="s">
        <v>2</v>
      </c>
      <c r="B53" s="108">
        <f t="shared" ref="B53:G53" si="7">SUM(B41:B52)</f>
        <v>0</v>
      </c>
      <c r="C53" s="108">
        <f t="shared" si="7"/>
        <v>0</v>
      </c>
      <c r="D53" s="108">
        <f t="shared" si="7"/>
        <v>0</v>
      </c>
      <c r="E53" s="108">
        <f t="shared" si="7"/>
        <v>0</v>
      </c>
      <c r="F53" s="108">
        <f t="shared" si="7"/>
        <v>0</v>
      </c>
      <c r="G53" s="108">
        <f t="shared" si="7"/>
        <v>0</v>
      </c>
      <c r="H53" s="113">
        <f>SUM(H51:H52)-SUM(H41:H50)</f>
        <v>-21</v>
      </c>
      <c r="I53" s="87" t="s">
        <v>2</v>
      </c>
      <c r="J53" s="108">
        <f t="shared" ref="J53:O53" si="8">SUM(J41:J52)</f>
        <v>0</v>
      </c>
      <c r="K53" s="108">
        <f t="shared" si="8"/>
        <v>0</v>
      </c>
      <c r="L53" s="108">
        <f t="shared" si="8"/>
        <v>1</v>
      </c>
      <c r="M53" s="108">
        <f t="shared" si="8"/>
        <v>1</v>
      </c>
      <c r="N53" s="108">
        <f t="shared" si="8"/>
        <v>0</v>
      </c>
      <c r="O53" s="108">
        <f t="shared" si="8"/>
        <v>0</v>
      </c>
      <c r="P53" s="113">
        <f xml:space="preserve"> SUM(P41:P51)-P52</f>
        <v>0</v>
      </c>
      <c r="Q53" s="114"/>
    </row>
    <row r="54" spans="1:17" ht="18" thickBot="1" x14ac:dyDescent="0.55000000000000004">
      <c r="B54" s="94"/>
      <c r="C54" s="94"/>
      <c r="D54" s="94"/>
      <c r="E54" s="94"/>
      <c r="F54" s="94"/>
      <c r="G54" s="94"/>
      <c r="H54" s="95"/>
      <c r="I54" s="115"/>
      <c r="J54" s="94"/>
      <c r="K54" s="94"/>
      <c r="L54" s="94"/>
      <c r="M54" s="94"/>
      <c r="N54" s="94"/>
      <c r="O54" s="94"/>
      <c r="P54" s="95"/>
    </row>
    <row r="55" spans="1:17" ht="18" thickBot="1" x14ac:dyDescent="0.55000000000000004">
      <c r="B55" s="87">
        <f>Colonias!D48</f>
        <v>0</v>
      </c>
      <c r="C55" s="87">
        <f>Colonias!E48</f>
        <v>0</v>
      </c>
      <c r="D55" s="87">
        <f>Colonias!F48</f>
        <v>0</v>
      </c>
      <c r="E55" s="87">
        <f>Colonias!G48</f>
        <v>0</v>
      </c>
      <c r="F55" s="87">
        <f>Colonias!H48</f>
        <v>0</v>
      </c>
      <c r="G55" s="87">
        <f>Colonias!I48</f>
        <v>0</v>
      </c>
      <c r="H55" s="87" t="s">
        <v>108</v>
      </c>
    </row>
    <row r="56" spans="1:17" ht="18" thickBot="1" x14ac:dyDescent="0.55000000000000004">
      <c r="A56" s="85" t="s">
        <v>111</v>
      </c>
      <c r="B56" s="101">
        <f t="shared" ref="B56:G56" si="9">B25-B53+J53</f>
        <v>-5.2893333333333334</v>
      </c>
      <c r="C56" s="101">
        <f t="shared" si="9"/>
        <v>0</v>
      </c>
      <c r="D56" s="101">
        <f t="shared" si="9"/>
        <v>3</v>
      </c>
      <c r="E56" s="101">
        <f t="shared" si="9"/>
        <v>-3</v>
      </c>
      <c r="F56" s="101">
        <f t="shared" si="9"/>
        <v>1</v>
      </c>
      <c r="G56" s="101">
        <f t="shared" si="9"/>
        <v>1</v>
      </c>
      <c r="H56" s="116">
        <f>B15+H53+P53</f>
        <v>137.5</v>
      </c>
      <c r="J56" s="92"/>
    </row>
    <row r="57" spans="1:17" x14ac:dyDescent="0.5">
      <c r="A57" s="94"/>
      <c r="B57" s="106"/>
      <c r="C57" s="106"/>
      <c r="D57" s="106"/>
      <c r="E57" s="106"/>
      <c r="F57" s="106"/>
      <c r="G57" s="106"/>
      <c r="H57" s="96"/>
      <c r="I57" s="94"/>
    </row>
    <row r="58" spans="1:17" x14ac:dyDescent="0.5">
      <c r="A58" s="85" t="s">
        <v>6</v>
      </c>
    </row>
    <row r="59" spans="1:17" ht="18" thickBot="1" x14ac:dyDescent="0.55000000000000004">
      <c r="A59" s="85" t="s">
        <v>112</v>
      </c>
      <c r="B59" s="85" t="s">
        <v>133</v>
      </c>
      <c r="C59" s="85" t="s">
        <v>92</v>
      </c>
      <c r="D59" s="85" t="s">
        <v>99</v>
      </c>
      <c r="E59" s="85" t="s">
        <v>93</v>
      </c>
      <c r="F59" s="85" t="s">
        <v>95</v>
      </c>
      <c r="G59" s="85" t="s">
        <v>96</v>
      </c>
      <c r="H59" s="85" t="s">
        <v>134</v>
      </c>
      <c r="I59" s="85" t="s">
        <v>135</v>
      </c>
    </row>
    <row r="60" spans="1:17" ht="18" thickBot="1" x14ac:dyDescent="0.55000000000000004">
      <c r="A60" s="85" t="s">
        <v>113</v>
      </c>
      <c r="B60" s="148"/>
      <c r="C60" s="117" t="s">
        <v>6</v>
      </c>
      <c r="D60" s="108">
        <f>B60</f>
        <v>0</v>
      </c>
      <c r="E60" s="117"/>
      <c r="F60" s="117"/>
      <c r="G60" s="117"/>
      <c r="H60" s="117"/>
      <c r="I60" s="87">
        <f>B60</f>
        <v>0</v>
      </c>
    </row>
    <row r="61" spans="1:17" ht="18" thickBot="1" x14ac:dyDescent="0.55000000000000004">
      <c r="A61" s="85" t="s">
        <v>114</v>
      </c>
      <c r="B61" s="148"/>
      <c r="C61" s="117" t="s">
        <v>6</v>
      </c>
      <c r="D61" s="117"/>
      <c r="E61" s="117"/>
      <c r="F61" s="87">
        <f>B61</f>
        <v>0</v>
      </c>
      <c r="G61" s="87">
        <f>B61</f>
        <v>0</v>
      </c>
      <c r="H61" s="117"/>
      <c r="I61" s="87">
        <f>B61*2</f>
        <v>0</v>
      </c>
    </row>
    <row r="62" spans="1:17" ht="18" thickBot="1" x14ac:dyDescent="0.55000000000000004">
      <c r="A62" s="85" t="s">
        <v>115</v>
      </c>
      <c r="B62" s="148"/>
      <c r="C62" s="117"/>
      <c r="D62" s="117"/>
      <c r="E62" s="117"/>
      <c r="F62" s="87">
        <f>B62</f>
        <v>0</v>
      </c>
      <c r="G62" s="87">
        <f>B62</f>
        <v>0</v>
      </c>
      <c r="H62" s="117"/>
      <c r="I62" s="87">
        <f>B62</f>
        <v>0</v>
      </c>
    </row>
    <row r="63" spans="1:17" ht="18" thickBot="1" x14ac:dyDescent="0.55000000000000004">
      <c r="A63" s="85" t="s">
        <v>116</v>
      </c>
      <c r="B63" s="117"/>
      <c r="C63" s="117"/>
      <c r="D63" s="117"/>
      <c r="E63" s="148">
        <v>0</v>
      </c>
      <c r="F63" s="117"/>
      <c r="G63" s="117"/>
      <c r="H63" s="90">
        <f>E63*6</f>
        <v>0</v>
      </c>
      <c r="I63" s="87">
        <f>E63</f>
        <v>0</v>
      </c>
    </row>
    <row r="64" spans="1:17" ht="18" thickBot="1" x14ac:dyDescent="0.55000000000000004">
      <c r="A64" s="85" t="s">
        <v>60</v>
      </c>
      <c r="B64" s="101">
        <f>B56+B60+(B61*2)</f>
        <v>-5.2893333333333334</v>
      </c>
      <c r="C64" s="101">
        <f>C56</f>
        <v>0</v>
      </c>
      <c r="D64" s="101">
        <f>D56-D60</f>
        <v>3</v>
      </c>
      <c r="E64" s="101">
        <f>E63+E56</f>
        <v>-3</v>
      </c>
      <c r="F64" s="101">
        <f>F56-F61-F62</f>
        <v>1</v>
      </c>
      <c r="G64" s="101">
        <f>G56-G61-G62</f>
        <v>1</v>
      </c>
      <c r="H64" s="116">
        <f>H56-H63</f>
        <v>137.5</v>
      </c>
      <c r="I64" s="87">
        <f>B23-I60-I61-I62-I63</f>
        <v>7</v>
      </c>
    </row>
    <row r="66" spans="1:16" x14ac:dyDescent="0.5">
      <c r="A66" s="188" t="s">
        <v>137</v>
      </c>
      <c r="B66" s="188"/>
      <c r="C66" s="188"/>
      <c r="D66" s="188"/>
      <c r="E66" s="188"/>
      <c r="F66" s="188"/>
      <c r="G66" s="188"/>
      <c r="H66" s="188"/>
      <c r="I66" s="188"/>
      <c r="J66" s="188"/>
      <c r="K66" s="188"/>
      <c r="L66" s="188"/>
      <c r="M66" s="188"/>
      <c r="N66" s="188"/>
      <c r="O66" s="188"/>
      <c r="P66" s="188"/>
    </row>
    <row r="68" spans="1:16" ht="18" thickBot="1" x14ac:dyDescent="0.55000000000000004">
      <c r="A68" s="118" t="s">
        <v>238</v>
      </c>
      <c r="B68" s="119"/>
      <c r="C68" s="119"/>
      <c r="D68" s="119"/>
      <c r="E68" s="119"/>
      <c r="F68" s="119"/>
      <c r="G68" s="119"/>
      <c r="H68" s="119"/>
      <c r="I68" s="119"/>
      <c r="J68" s="119"/>
      <c r="K68" s="119"/>
      <c r="L68" s="119"/>
    </row>
    <row r="69" spans="1:16" x14ac:dyDescent="0.5">
      <c r="A69" s="205" t="s">
        <v>127</v>
      </c>
      <c r="B69" s="205" t="s">
        <v>117</v>
      </c>
      <c r="C69" s="205" t="s">
        <v>245</v>
      </c>
      <c r="D69" s="205" t="s">
        <v>126</v>
      </c>
      <c r="E69" s="194" t="s">
        <v>119</v>
      </c>
      <c r="F69" s="194" t="s">
        <v>118</v>
      </c>
      <c r="G69" s="198" t="s">
        <v>117</v>
      </c>
      <c r="H69" s="198" t="s">
        <v>121</v>
      </c>
    </row>
    <row r="70" spans="1:16" ht="18" thickBot="1" x14ac:dyDescent="0.55000000000000004">
      <c r="A70" s="206"/>
      <c r="B70" s="206"/>
      <c r="C70" s="206"/>
      <c r="D70" s="206"/>
      <c r="E70" s="195"/>
      <c r="F70" s="195"/>
      <c r="G70" s="199"/>
      <c r="H70" s="199"/>
    </row>
    <row r="71" spans="1:16" ht="18" thickBot="1" x14ac:dyDescent="0.55000000000000004">
      <c r="A71" s="87" t="s">
        <v>135</v>
      </c>
      <c r="B71" s="90">
        <v>70</v>
      </c>
      <c r="C71" s="97">
        <v>0</v>
      </c>
      <c r="D71" s="150" t="s">
        <v>10</v>
      </c>
      <c r="E71" s="97">
        <f>IF(H71="Si",0.4,0.33)</f>
        <v>0.4</v>
      </c>
      <c r="F71" s="97" t="str">
        <f>IF(D71="Si",(IF((C71+E71)&gt;1,1,(C71+E71)))," ")</f>
        <v xml:space="preserve"> </v>
      </c>
      <c r="G71" s="90" t="str">
        <f>IF(D71="Continue",5,(IF(D71="Si",(IF((C71+E71)&gt;1,5,B71))," ")))</f>
        <v xml:space="preserve"> </v>
      </c>
      <c r="H71" s="173" t="s">
        <v>120</v>
      </c>
      <c r="I71" s="120"/>
    </row>
    <row r="72" spans="1:16" ht="18" thickBot="1" x14ac:dyDescent="0.55000000000000004">
      <c r="A72" s="151" t="s">
        <v>135</v>
      </c>
      <c r="B72" s="90">
        <v>80</v>
      </c>
      <c r="C72" s="97">
        <v>0</v>
      </c>
      <c r="D72" s="150" t="s">
        <v>10</v>
      </c>
      <c r="E72" s="97">
        <f t="shared" ref="E72:E81" si="10">IF(H72="Si",0.4,0.33)</f>
        <v>0.4</v>
      </c>
      <c r="F72" s="97" t="str">
        <f t="shared" ref="F72:F81" si="11">IF(D72="Si",(IF((C72+E72)&gt;1,1,(C72+E72)))," ")</f>
        <v xml:space="preserve"> </v>
      </c>
      <c r="G72" s="90" t="str">
        <f t="shared" ref="G72:G81" si="12">IF(D72="Continue",5,(IF(D72="Si",(IF((C72+E72)&gt;1,5,B72))," ")))</f>
        <v xml:space="preserve"> </v>
      </c>
      <c r="H72" s="177" t="s">
        <v>120</v>
      </c>
      <c r="I72" s="120"/>
    </row>
    <row r="73" spans="1:16" s="152" customFormat="1" ht="18" thickBot="1" x14ac:dyDescent="0.55000000000000004">
      <c r="A73" s="151" t="s">
        <v>92</v>
      </c>
      <c r="B73" s="90">
        <v>60</v>
      </c>
      <c r="C73" s="97">
        <v>0</v>
      </c>
      <c r="D73" s="150" t="s">
        <v>10</v>
      </c>
      <c r="E73" s="97">
        <f t="shared" si="10"/>
        <v>0.4</v>
      </c>
      <c r="F73" s="97" t="str">
        <f t="shared" si="11"/>
        <v xml:space="preserve"> </v>
      </c>
      <c r="G73" s="90" t="str">
        <f t="shared" si="12"/>
        <v xml:space="preserve"> </v>
      </c>
      <c r="H73" s="177" t="s">
        <v>120</v>
      </c>
      <c r="I73" s="120"/>
    </row>
    <row r="74" spans="1:16" s="152" customFormat="1" ht="18" thickBot="1" x14ac:dyDescent="0.55000000000000004">
      <c r="A74" s="151" t="s">
        <v>95</v>
      </c>
      <c r="B74" s="90">
        <v>75</v>
      </c>
      <c r="C74" s="97">
        <v>0</v>
      </c>
      <c r="D74" s="150" t="s">
        <v>10</v>
      </c>
      <c r="E74" s="97">
        <f t="shared" si="10"/>
        <v>0.4</v>
      </c>
      <c r="F74" s="97" t="str">
        <f t="shared" si="11"/>
        <v xml:space="preserve"> </v>
      </c>
      <c r="G74" s="90" t="str">
        <f t="shared" si="12"/>
        <v xml:space="preserve"> </v>
      </c>
      <c r="H74" s="177" t="s">
        <v>120</v>
      </c>
      <c r="I74" s="120"/>
    </row>
    <row r="75" spans="1:16" s="152" customFormat="1" ht="18" thickBot="1" x14ac:dyDescent="0.55000000000000004">
      <c r="A75" s="151" t="s">
        <v>96</v>
      </c>
      <c r="B75" s="90">
        <v>75</v>
      </c>
      <c r="C75" s="97">
        <v>0</v>
      </c>
      <c r="D75" s="150" t="s">
        <v>10</v>
      </c>
      <c r="E75" s="97">
        <f t="shared" si="10"/>
        <v>0.4</v>
      </c>
      <c r="F75" s="97" t="str">
        <f t="shared" si="11"/>
        <v xml:space="preserve"> </v>
      </c>
      <c r="G75" s="90" t="str">
        <f t="shared" si="12"/>
        <v xml:space="preserve"> </v>
      </c>
      <c r="H75" s="177" t="s">
        <v>120</v>
      </c>
      <c r="I75" s="120"/>
    </row>
    <row r="76" spans="1:16" s="152" customFormat="1" ht="18" thickBot="1" x14ac:dyDescent="0.55000000000000004">
      <c r="A76" s="151" t="s">
        <v>251</v>
      </c>
      <c r="B76" s="90">
        <v>65</v>
      </c>
      <c r="C76" s="97">
        <v>0</v>
      </c>
      <c r="D76" s="150" t="s">
        <v>10</v>
      </c>
      <c r="E76" s="97">
        <f t="shared" si="10"/>
        <v>0.4</v>
      </c>
      <c r="F76" s="97" t="str">
        <f t="shared" si="11"/>
        <v xml:space="preserve"> </v>
      </c>
      <c r="G76" s="90" t="str">
        <f t="shared" si="12"/>
        <v xml:space="preserve"> </v>
      </c>
      <c r="H76" s="177" t="s">
        <v>120</v>
      </c>
      <c r="I76" s="120"/>
    </row>
    <row r="77" spans="1:16" ht="18" thickBot="1" x14ac:dyDescent="0.55000000000000004">
      <c r="A77" s="147"/>
      <c r="B77" s="90" t="str">
        <f>IF(A77="","",VLOOKUP(A77,Colonias!$B$35:$E$38,4,FALSE))</f>
        <v/>
      </c>
      <c r="C77" s="97">
        <f>IF(A77="",0,VLOOKUP(A77,Colonias!$B$35:$F$38,5,FALSE))</f>
        <v>0</v>
      </c>
      <c r="D77" s="150" t="s">
        <v>10</v>
      </c>
      <c r="E77" s="97">
        <f t="shared" si="10"/>
        <v>0.33</v>
      </c>
      <c r="F77" s="97" t="str">
        <f t="shared" si="11"/>
        <v xml:space="preserve"> </v>
      </c>
      <c r="G77" s="90" t="str">
        <f t="shared" si="12"/>
        <v xml:space="preserve"> </v>
      </c>
      <c r="H77" s="87" t="str">
        <f>IF(A77="","No",VLOOKUP(A77,Colonias!$B$35:$G$38,6,FALSE))</f>
        <v>No</v>
      </c>
      <c r="I77" s="88"/>
    </row>
    <row r="78" spans="1:16" ht="18" thickBot="1" x14ac:dyDescent="0.55000000000000004">
      <c r="A78" s="147"/>
      <c r="B78" s="90" t="str">
        <f>IF(A78="","",VLOOKUP(A78,Colonias!$B$35:$E$38,4,FALSE))</f>
        <v/>
      </c>
      <c r="C78" s="97">
        <f>IF(A78="",0,VLOOKUP(A78,Colonias!$B$35:$F$38,5,FALSE))</f>
        <v>0</v>
      </c>
      <c r="D78" s="150" t="s">
        <v>10</v>
      </c>
      <c r="E78" s="97">
        <f t="shared" si="10"/>
        <v>0.33</v>
      </c>
      <c r="F78" s="97" t="str">
        <f t="shared" si="11"/>
        <v xml:space="preserve"> </v>
      </c>
      <c r="G78" s="90" t="str">
        <f t="shared" si="12"/>
        <v xml:space="preserve"> </v>
      </c>
      <c r="H78" s="151" t="str">
        <f>IF(A78="","No",VLOOKUP(A78,Colonias!$B$35:$G$38,6,FALSE))</f>
        <v>No</v>
      </c>
      <c r="I78" s="88"/>
    </row>
    <row r="79" spans="1:16" ht="18" thickBot="1" x14ac:dyDescent="0.55000000000000004">
      <c r="A79" s="147"/>
      <c r="B79" s="90" t="str">
        <f>IF(A79="","",VLOOKUP(A79,Colonias!$B$35:$E$38,4,FALSE))</f>
        <v/>
      </c>
      <c r="C79" s="97">
        <f>IF(A79="",0,VLOOKUP(A79,Colonias!$B$35:$F$38,5,FALSE))</f>
        <v>0</v>
      </c>
      <c r="D79" s="150" t="s">
        <v>10</v>
      </c>
      <c r="E79" s="97">
        <f t="shared" si="10"/>
        <v>0.33</v>
      </c>
      <c r="F79" s="97" t="str">
        <f t="shared" si="11"/>
        <v xml:space="preserve"> </v>
      </c>
      <c r="G79" s="90" t="str">
        <f t="shared" si="12"/>
        <v xml:space="preserve"> </v>
      </c>
      <c r="H79" s="151" t="str">
        <f>IF(A79="","No",VLOOKUP(A79,Colonias!$B$35:$G$38,6,FALSE))</f>
        <v>No</v>
      </c>
      <c r="I79" s="88"/>
    </row>
    <row r="80" spans="1:16" ht="18" thickBot="1" x14ac:dyDescent="0.55000000000000004">
      <c r="A80" s="147"/>
      <c r="B80" s="90" t="str">
        <f>IF(A80="","",VLOOKUP(A80,Colonias!$B$35:$E$38,4,FALSE))</f>
        <v/>
      </c>
      <c r="C80" s="97">
        <f>IF(A80="",0,VLOOKUP(A80,Colonias!$B$35:$F$38,5,FALSE))</f>
        <v>0</v>
      </c>
      <c r="D80" s="150" t="s">
        <v>10</v>
      </c>
      <c r="E80" s="97">
        <f t="shared" si="10"/>
        <v>0.33</v>
      </c>
      <c r="F80" s="97" t="str">
        <f t="shared" si="11"/>
        <v xml:space="preserve"> </v>
      </c>
      <c r="G80" s="90" t="str">
        <f t="shared" si="12"/>
        <v xml:space="preserve"> </v>
      </c>
      <c r="H80" s="151" t="str">
        <f>IF(A80="","No",VLOOKUP(A80,Colonias!$B$35:$G$38,6,FALSE))</f>
        <v>No</v>
      </c>
      <c r="I80" s="88"/>
    </row>
    <row r="81" spans="1:9" ht="18" thickBot="1" x14ac:dyDescent="0.55000000000000004">
      <c r="A81" s="147"/>
      <c r="B81" s="90" t="str">
        <f>IF(A81="","",VLOOKUP(A81,Colonias!$B$35:$E$38,4,FALSE))</f>
        <v/>
      </c>
      <c r="C81" s="97">
        <f>IF(A81="",0,VLOOKUP(A81,Colonias!$B$35:$F$38,5,FALSE))</f>
        <v>0</v>
      </c>
      <c r="D81" s="150" t="s">
        <v>10</v>
      </c>
      <c r="E81" s="97">
        <f t="shared" si="10"/>
        <v>0.33</v>
      </c>
      <c r="F81" s="97" t="str">
        <f t="shared" si="11"/>
        <v xml:space="preserve"> </v>
      </c>
      <c r="G81" s="90" t="str">
        <f t="shared" si="12"/>
        <v xml:space="preserve"> </v>
      </c>
      <c r="H81" s="151" t="str">
        <f>IF(A81="","No",VLOOKUP(A81,Colonias!$B$35:$G$38,6,FALSE))</f>
        <v>No</v>
      </c>
      <c r="I81" s="88"/>
    </row>
    <row r="82" spans="1:9" ht="18" thickBot="1" x14ac:dyDescent="0.55000000000000004">
      <c r="B82" s="92"/>
      <c r="F82" s="121" t="s">
        <v>2</v>
      </c>
      <c r="G82" s="122">
        <f>SUM(G71:G81)</f>
        <v>0</v>
      </c>
    </row>
    <row r="83" spans="1:9" ht="18" thickBot="1" x14ac:dyDescent="0.55000000000000004">
      <c r="A83" s="123" t="s">
        <v>239</v>
      </c>
      <c r="B83" s="92"/>
      <c r="F83" s="94"/>
      <c r="G83" s="95"/>
    </row>
    <row r="84" spans="1:9" ht="18" thickBot="1" x14ac:dyDescent="0.55000000000000004">
      <c r="A84" s="87" t="s">
        <v>122</v>
      </c>
      <c r="B84" s="87" t="s">
        <v>117</v>
      </c>
      <c r="C84" s="87" t="s">
        <v>123</v>
      </c>
      <c r="D84" s="87" t="s">
        <v>126</v>
      </c>
      <c r="E84" s="87" t="s">
        <v>124</v>
      </c>
      <c r="F84" s="87" t="s">
        <v>117</v>
      </c>
      <c r="G84" s="95"/>
    </row>
    <row r="85" spans="1:9" ht="18" thickBot="1" x14ac:dyDescent="0.55000000000000004">
      <c r="A85" s="147"/>
      <c r="B85" s="90" t="str">
        <f>IF(A85="","",VLOOKUP(A85,Ferrocarriles!$G$5:$I$10,2,FALSE))</f>
        <v/>
      </c>
      <c r="C85" s="87" t="str">
        <f>IF(A85="","",VLOOKUP(A85,Ferrocarriles!$G$5:$I$10,3,FALSE))</f>
        <v/>
      </c>
      <c r="D85" s="158" t="s">
        <v>10</v>
      </c>
      <c r="E85" s="87">
        <f>IF(D85="Si",1,0)</f>
        <v>0</v>
      </c>
      <c r="F85" s="90">
        <f>IF(D85="Si",B85,0)</f>
        <v>0</v>
      </c>
      <c r="G85" s="124"/>
      <c r="H85" s="125"/>
    </row>
    <row r="86" spans="1:9" ht="18" thickBot="1" x14ac:dyDescent="0.55000000000000004">
      <c r="A86" s="147"/>
      <c r="B86" s="90" t="str">
        <f>IF(A86="","",VLOOKUP(A86,Ferrocarriles!$G$5:$I$10,2,FALSE))</f>
        <v/>
      </c>
      <c r="C86" s="151" t="str">
        <f>IF(A86="","",VLOOKUP(A86,Ferrocarriles!$G$5:$I$10,3,FALSE))</f>
        <v/>
      </c>
      <c r="D86" s="158" t="s">
        <v>10</v>
      </c>
      <c r="E86" s="87">
        <f t="shared" ref="E86:E88" si="13">IF(D86="Si",1,0)</f>
        <v>0</v>
      </c>
      <c r="F86" s="90">
        <f t="shared" ref="F86:F88" si="14">IF(D86="Si",B86,0)</f>
        <v>0</v>
      </c>
      <c r="G86" s="124"/>
      <c r="H86" s="125"/>
    </row>
    <row r="87" spans="1:9" ht="18" thickBot="1" x14ac:dyDescent="0.55000000000000004">
      <c r="A87" s="147"/>
      <c r="B87" s="90" t="str">
        <f>IF(A87="","",VLOOKUP(A87,Ferrocarriles!$G$5:$I$10,2,FALSE))</f>
        <v/>
      </c>
      <c r="C87" s="151" t="str">
        <f>IF(A87="","",VLOOKUP(A87,Ferrocarriles!$G$5:$I$10,3,FALSE))</f>
        <v/>
      </c>
      <c r="D87" s="158" t="s">
        <v>10</v>
      </c>
      <c r="E87" s="87">
        <f t="shared" si="13"/>
        <v>0</v>
      </c>
      <c r="F87" s="90">
        <f t="shared" si="14"/>
        <v>0</v>
      </c>
      <c r="G87" s="124"/>
      <c r="H87" s="125"/>
    </row>
    <row r="88" spans="1:9" ht="18" thickBot="1" x14ac:dyDescent="0.55000000000000004">
      <c r="A88" s="147"/>
      <c r="B88" s="90" t="str">
        <f>IF(A88="","",VLOOKUP(A88,Ferrocarriles!$G$5:$I$10,2,FALSE))</f>
        <v/>
      </c>
      <c r="C88" s="151" t="str">
        <f>IF(A88="","",VLOOKUP(A88,Ferrocarriles!$G$5:$I$10,3,FALSE))</f>
        <v/>
      </c>
      <c r="D88" s="158" t="s">
        <v>10</v>
      </c>
      <c r="E88" s="87">
        <f t="shared" si="13"/>
        <v>0</v>
      </c>
      <c r="F88" s="90">
        <f t="shared" si="14"/>
        <v>0</v>
      </c>
      <c r="G88" s="124"/>
      <c r="H88" s="125"/>
    </row>
    <row r="89" spans="1:9" ht="18" thickBot="1" x14ac:dyDescent="0.55000000000000004">
      <c r="B89" s="92"/>
      <c r="D89" s="87" t="s">
        <v>41</v>
      </c>
      <c r="E89" s="87">
        <f>SUM(E85:E88)</f>
        <v>0</v>
      </c>
      <c r="F89" s="90">
        <f>SUM(F85:F88)</f>
        <v>0</v>
      </c>
      <c r="G89" s="95"/>
    </row>
    <row r="90" spans="1:9" x14ac:dyDescent="0.5">
      <c r="B90" s="92"/>
      <c r="D90" s="94"/>
      <c r="E90" s="126" t="str">
        <f>IF(E89&gt;B62,"Need to build more HI points to complete this investment(s)"," ")</f>
        <v xml:space="preserve"> </v>
      </c>
      <c r="F90" s="94"/>
      <c r="G90" s="95"/>
    </row>
    <row r="91" spans="1:9" x14ac:dyDescent="0.5">
      <c r="B91" s="92"/>
      <c r="F91" s="94"/>
      <c r="G91" s="95"/>
    </row>
    <row r="92" spans="1:9" ht="18" thickBot="1" x14ac:dyDescent="0.55000000000000004">
      <c r="A92" s="123" t="s">
        <v>240</v>
      </c>
      <c r="B92" s="92"/>
      <c r="F92" s="92"/>
    </row>
    <row r="93" spans="1:9" ht="18" thickBot="1" x14ac:dyDescent="0.55000000000000004">
      <c r="A93" s="87" t="s">
        <v>125</v>
      </c>
      <c r="B93" s="87" t="s">
        <v>117</v>
      </c>
      <c r="F93" s="90" t="s">
        <v>117</v>
      </c>
      <c r="G93" s="87" t="s">
        <v>122</v>
      </c>
    </row>
    <row r="94" spans="1:9" ht="18" thickBot="1" x14ac:dyDescent="0.55000000000000004">
      <c r="A94" s="159"/>
      <c r="B94" s="160"/>
      <c r="C94" s="88"/>
      <c r="D94" s="120"/>
      <c r="F94" s="90">
        <f>B94</f>
        <v>0</v>
      </c>
      <c r="G94" s="158" t="s">
        <v>10</v>
      </c>
    </row>
    <row r="95" spans="1:9" ht="18" thickBot="1" x14ac:dyDescent="0.55000000000000004">
      <c r="A95" s="159"/>
      <c r="B95" s="160"/>
      <c r="C95" s="88"/>
      <c r="D95" s="114"/>
      <c r="F95" s="90">
        <f>B95</f>
        <v>0</v>
      </c>
      <c r="G95" s="158" t="s">
        <v>10</v>
      </c>
    </row>
    <row r="96" spans="1:9" ht="18" thickBot="1" x14ac:dyDescent="0.55000000000000004">
      <c r="A96" s="159"/>
      <c r="B96" s="160"/>
      <c r="C96" s="88"/>
      <c r="D96" s="125"/>
      <c r="F96" s="90">
        <f>B96</f>
        <v>0</v>
      </c>
      <c r="G96" s="158" t="s">
        <v>10</v>
      </c>
    </row>
    <row r="97" spans="1:7" ht="18" thickBot="1" x14ac:dyDescent="0.55000000000000004">
      <c r="A97" s="159"/>
      <c r="B97" s="160"/>
      <c r="C97" s="88"/>
      <c r="F97" s="90">
        <f>B97</f>
        <v>0</v>
      </c>
      <c r="G97" s="158" t="s">
        <v>10</v>
      </c>
    </row>
    <row r="98" spans="1:7" ht="18" thickBot="1" x14ac:dyDescent="0.55000000000000004">
      <c r="B98" s="92"/>
      <c r="E98" s="87" t="s">
        <v>3</v>
      </c>
      <c r="F98" s="116">
        <f>SUM(F94:F97)</f>
        <v>0</v>
      </c>
    </row>
    <row r="99" spans="1:7" x14ac:dyDescent="0.5">
      <c r="B99" s="92"/>
    </row>
    <row r="100" spans="1:7" ht="18" thickBot="1" x14ac:dyDescent="0.55000000000000004">
      <c r="A100" s="127" t="s">
        <v>237</v>
      </c>
      <c r="B100" s="92"/>
    </row>
    <row r="101" spans="1:7" ht="18" thickBot="1" x14ac:dyDescent="0.55000000000000004">
      <c r="C101" s="87" t="s">
        <v>129</v>
      </c>
      <c r="E101" s="87" t="s">
        <v>130</v>
      </c>
      <c r="F101" s="85" t="s">
        <v>6</v>
      </c>
    </row>
    <row r="102" spans="1:7" ht="18" thickBot="1" x14ac:dyDescent="0.55000000000000004">
      <c r="A102" s="87" t="s">
        <v>128</v>
      </c>
      <c r="B102" s="87" t="s">
        <v>117</v>
      </c>
      <c r="C102" s="87" t="s">
        <v>7</v>
      </c>
      <c r="D102" s="87" t="s">
        <v>126</v>
      </c>
      <c r="E102" s="87" t="s">
        <v>7</v>
      </c>
      <c r="F102" s="90" t="s">
        <v>117</v>
      </c>
    </row>
    <row r="103" spans="1:7" ht="18" thickBot="1" x14ac:dyDescent="0.55000000000000004">
      <c r="A103" s="87" t="s">
        <v>152</v>
      </c>
      <c r="B103" s="90">
        <v>30</v>
      </c>
      <c r="C103" s="97">
        <v>0</v>
      </c>
      <c r="D103" s="158" t="s">
        <v>10</v>
      </c>
      <c r="E103" s="97" t="str">
        <f>IF(D103="Si",(C103+0.2),IF(D103="Continue",(C103)," "))</f>
        <v xml:space="preserve"> </v>
      </c>
      <c r="F103" s="90" t="str">
        <f>IF(D103="Si",B103,IF(D103="Continue",5,""))</f>
        <v/>
      </c>
      <c r="G103" s="125"/>
    </row>
    <row r="104" spans="1:7" ht="18" thickBot="1" x14ac:dyDescent="0.55000000000000004">
      <c r="A104" s="87" t="s">
        <v>153</v>
      </c>
      <c r="B104" s="90">
        <v>30</v>
      </c>
      <c r="C104" s="97">
        <v>0</v>
      </c>
      <c r="D104" s="158" t="s">
        <v>10</v>
      </c>
      <c r="E104" s="97" t="str">
        <f t="shared" ref="E104:E111" si="15">IF(D104="Si",(C104+0.2),IF(D104="Continue",(C104)," "))</f>
        <v xml:space="preserve"> </v>
      </c>
      <c r="F104" s="90" t="str">
        <f t="shared" ref="F104:F111" si="16">IF(D104="Si",B104,IF(D104="Continue",5,""))</f>
        <v/>
      </c>
      <c r="G104" s="125"/>
    </row>
    <row r="105" spans="1:7" ht="18" thickBot="1" x14ac:dyDescent="0.55000000000000004">
      <c r="A105" s="87" t="s">
        <v>154</v>
      </c>
      <c r="B105" s="90">
        <v>30</v>
      </c>
      <c r="C105" s="97">
        <v>0</v>
      </c>
      <c r="D105" s="158" t="s">
        <v>10</v>
      </c>
      <c r="E105" s="97" t="str">
        <f t="shared" si="15"/>
        <v xml:space="preserve"> </v>
      </c>
      <c r="F105" s="90" t="str">
        <f t="shared" si="16"/>
        <v/>
      </c>
      <c r="G105" s="88"/>
    </row>
    <row r="106" spans="1:7" ht="18" thickBot="1" x14ac:dyDescent="0.55000000000000004">
      <c r="A106" s="87" t="s">
        <v>155</v>
      </c>
      <c r="B106" s="90">
        <v>30</v>
      </c>
      <c r="C106" s="97">
        <v>0</v>
      </c>
      <c r="D106" s="158" t="s">
        <v>10</v>
      </c>
      <c r="E106" s="97" t="str">
        <f t="shared" si="15"/>
        <v xml:space="preserve"> </v>
      </c>
      <c r="F106" s="90" t="str">
        <f t="shared" si="16"/>
        <v/>
      </c>
      <c r="G106" s="88"/>
    </row>
    <row r="107" spans="1:7" ht="18" thickBot="1" x14ac:dyDescent="0.55000000000000004">
      <c r="A107" s="87" t="s">
        <v>156</v>
      </c>
      <c r="B107" s="90">
        <v>30</v>
      </c>
      <c r="C107" s="97">
        <v>0</v>
      </c>
      <c r="D107" s="158" t="s">
        <v>10</v>
      </c>
      <c r="E107" s="97" t="str">
        <f t="shared" si="15"/>
        <v xml:space="preserve"> </v>
      </c>
      <c r="F107" s="90" t="str">
        <f t="shared" si="16"/>
        <v/>
      </c>
      <c r="G107" s="125"/>
    </row>
    <row r="108" spans="1:7" ht="18" thickBot="1" x14ac:dyDescent="0.55000000000000004">
      <c r="A108" s="87" t="s">
        <v>157</v>
      </c>
      <c r="B108" s="90">
        <v>30</v>
      </c>
      <c r="C108" s="97">
        <v>0</v>
      </c>
      <c r="D108" s="158" t="s">
        <v>10</v>
      </c>
      <c r="E108" s="97" t="str">
        <f t="shared" si="15"/>
        <v xml:space="preserve"> </v>
      </c>
      <c r="F108" s="90" t="str">
        <f t="shared" si="16"/>
        <v/>
      </c>
      <c r="G108" s="125"/>
    </row>
    <row r="109" spans="1:7" ht="18" thickBot="1" x14ac:dyDescent="0.55000000000000004">
      <c r="A109" s="87" t="s">
        <v>158</v>
      </c>
      <c r="B109" s="90">
        <v>30</v>
      </c>
      <c r="C109" s="97">
        <v>0</v>
      </c>
      <c r="D109" s="158" t="s">
        <v>10</v>
      </c>
      <c r="E109" s="97" t="str">
        <f t="shared" si="15"/>
        <v xml:space="preserve"> </v>
      </c>
      <c r="F109" s="90" t="str">
        <f t="shared" si="16"/>
        <v/>
      </c>
      <c r="G109" s="125"/>
    </row>
    <row r="110" spans="1:7" ht="18" thickBot="1" x14ac:dyDescent="0.55000000000000004">
      <c r="A110" s="87" t="s">
        <v>159</v>
      </c>
      <c r="B110" s="90">
        <v>40</v>
      </c>
      <c r="C110" s="97">
        <v>0</v>
      </c>
      <c r="D110" s="158" t="s">
        <v>10</v>
      </c>
      <c r="E110" s="97" t="str">
        <f t="shared" si="15"/>
        <v xml:space="preserve"> </v>
      </c>
      <c r="F110" s="90" t="str">
        <f t="shared" si="16"/>
        <v/>
      </c>
      <c r="G110" s="88" t="str">
        <f t="shared" ref="G110" si="17">IF(D110="Continue","New roll to complete investment at current %"," ")</f>
        <v xml:space="preserve"> </v>
      </c>
    </row>
    <row r="111" spans="1:7" ht="18" thickBot="1" x14ac:dyDescent="0.55000000000000004">
      <c r="A111" s="87" t="s">
        <v>131</v>
      </c>
      <c r="B111" s="90">
        <v>40</v>
      </c>
      <c r="C111" s="97">
        <v>0</v>
      </c>
      <c r="D111" s="117" t="s">
        <v>10</v>
      </c>
      <c r="E111" s="97" t="str">
        <f t="shared" si="15"/>
        <v xml:space="preserve"> </v>
      </c>
      <c r="F111" s="90" t="str">
        <f t="shared" si="16"/>
        <v/>
      </c>
      <c r="G111" s="88"/>
    </row>
    <row r="112" spans="1:7" ht="18" thickBot="1" x14ac:dyDescent="0.55000000000000004">
      <c r="E112" s="128" t="s">
        <v>2</v>
      </c>
      <c r="F112" s="129">
        <f>SUM(F103:F110)</f>
        <v>0</v>
      </c>
      <c r="G112" s="88"/>
    </row>
    <row r="113" spans="1:13" ht="18" thickBot="1" x14ac:dyDescent="0.55000000000000004">
      <c r="D113" s="87"/>
      <c r="E113" s="130" t="s">
        <v>136</v>
      </c>
      <c r="F113" s="116">
        <f>H64-G82-F98-F112-F89</f>
        <v>137.5</v>
      </c>
    </row>
    <row r="115" spans="1:13" ht="18" thickBot="1" x14ac:dyDescent="0.55000000000000004">
      <c r="A115" s="118" t="s">
        <v>241</v>
      </c>
      <c r="B115" s="119"/>
      <c r="C115" s="119"/>
      <c r="D115" s="119"/>
      <c r="E115" s="119"/>
      <c r="F115" s="119"/>
      <c r="G115" s="119"/>
      <c r="H115" s="119"/>
      <c r="I115" s="119"/>
    </row>
    <row r="116" spans="1:13" ht="18" thickBot="1" x14ac:dyDescent="0.55000000000000004">
      <c r="A116" s="87" t="s">
        <v>132</v>
      </c>
      <c r="B116" s="87">
        <f>B62-E89</f>
        <v>0</v>
      </c>
      <c r="D116" s="87" t="s">
        <v>134</v>
      </c>
      <c r="E116" s="116">
        <f>F113</f>
        <v>137.5</v>
      </c>
    </row>
    <row r="117" spans="1:13" x14ac:dyDescent="0.5">
      <c r="A117" s="94"/>
      <c r="B117" s="126" t="str">
        <f>IF(B116&lt;0,"Not enough HI ava"," ")</f>
        <v xml:space="preserve"> </v>
      </c>
      <c r="D117" s="94"/>
      <c r="E117" s="96"/>
    </row>
    <row r="118" spans="1:13" ht="18" thickBot="1" x14ac:dyDescent="0.55000000000000004">
      <c r="B118" s="85" t="s">
        <v>124</v>
      </c>
    </row>
    <row r="119" spans="1:13" ht="18" thickBot="1" x14ac:dyDescent="0.55000000000000004">
      <c r="A119" s="87" t="s">
        <v>139</v>
      </c>
      <c r="B119" s="157">
        <v>0</v>
      </c>
    </row>
    <row r="120" spans="1:13" ht="18" thickBot="1" x14ac:dyDescent="0.55000000000000004">
      <c r="A120" s="87" t="s">
        <v>138</v>
      </c>
      <c r="B120" s="157">
        <v>0</v>
      </c>
    </row>
    <row r="121" spans="1:13" ht="18" thickBot="1" x14ac:dyDescent="0.55000000000000004">
      <c r="A121" s="87" t="s">
        <v>2</v>
      </c>
      <c r="B121" s="108">
        <f>B116-B119-B120</f>
        <v>0</v>
      </c>
      <c r="D121" s="85" t="str">
        <f>IF(B121&lt;0,"Total Exceeds ava HI points"," ")</f>
        <v xml:space="preserve"> </v>
      </c>
    </row>
    <row r="124" spans="1:13" ht="18" thickBot="1" x14ac:dyDescent="0.55000000000000004">
      <c r="A124" s="127" t="s">
        <v>139</v>
      </c>
    </row>
    <row r="125" spans="1:13" x14ac:dyDescent="0.5">
      <c r="A125" s="131" t="s">
        <v>140</v>
      </c>
      <c r="B125" s="132"/>
      <c r="C125" s="132"/>
      <c r="D125" s="132"/>
      <c r="E125" s="132"/>
      <c r="F125" s="132"/>
      <c r="G125" s="132"/>
      <c r="H125" s="132"/>
      <c r="I125" s="132"/>
      <c r="J125" s="132"/>
      <c r="K125" s="200" t="s">
        <v>151</v>
      </c>
      <c r="L125" s="196" t="s">
        <v>117</v>
      </c>
    </row>
    <row r="126" spans="1:13" ht="18" thickBot="1" x14ac:dyDescent="0.55000000000000004">
      <c r="A126" s="133" t="s">
        <v>141</v>
      </c>
      <c r="B126" s="134">
        <f>B119*8</f>
        <v>0</v>
      </c>
      <c r="C126" s="134" t="s">
        <v>146</v>
      </c>
      <c r="D126" s="134" t="s">
        <v>148</v>
      </c>
      <c r="E126" s="134" t="s">
        <v>147</v>
      </c>
      <c r="F126" s="134" t="s">
        <v>148</v>
      </c>
      <c r="G126" s="134" t="s">
        <v>149</v>
      </c>
      <c r="H126" s="134" t="s">
        <v>148</v>
      </c>
      <c r="I126" s="134" t="s">
        <v>150</v>
      </c>
      <c r="J126" s="134" t="s">
        <v>148</v>
      </c>
      <c r="K126" s="201"/>
      <c r="L126" s="197"/>
    </row>
    <row r="127" spans="1:13" ht="18" thickBot="1" x14ac:dyDescent="0.55000000000000004">
      <c r="A127" s="87" t="s">
        <v>142</v>
      </c>
      <c r="B127" s="151" t="str">
        <f>IF(B119&gt;0, 8," ")</f>
        <v xml:space="preserve"> </v>
      </c>
      <c r="C127" s="157"/>
      <c r="D127" s="158"/>
      <c r="E127" s="157"/>
      <c r="F127" s="158"/>
      <c r="G127" s="157"/>
      <c r="H127" s="158"/>
      <c r="I127" s="157"/>
      <c r="J127" s="158"/>
      <c r="K127" s="87">
        <f>C127+E127+(G127*2)+(I127*4)</f>
        <v>0</v>
      </c>
      <c r="L127" s="116">
        <f>Data!Q3</f>
        <v>0</v>
      </c>
      <c r="M127" s="93" t="str">
        <f>IF(K127&gt;8,"Need to reduce number of weapons ordered"," ")</f>
        <v xml:space="preserve"> </v>
      </c>
    </row>
    <row r="128" spans="1:13" ht="18" thickBot="1" x14ac:dyDescent="0.55000000000000004">
      <c r="A128" s="87" t="s">
        <v>143</v>
      </c>
      <c r="B128" s="151" t="str">
        <f>IF(B119&gt;1,8," ")</f>
        <v xml:space="preserve"> </v>
      </c>
      <c r="C128" s="157"/>
      <c r="D128" s="158"/>
      <c r="E128" s="157"/>
      <c r="F128" s="158"/>
      <c r="G128" s="157"/>
      <c r="H128" s="158"/>
      <c r="I128" s="157"/>
      <c r="J128" s="158"/>
      <c r="K128" s="87">
        <f>C128+E128+(G128*2)+(I128*4)</f>
        <v>0</v>
      </c>
      <c r="L128" s="116">
        <f>Data!Q4</f>
        <v>0</v>
      </c>
      <c r="M128" s="93" t="str">
        <f t="shared" ref="M128:M130" si="18">IF(K128&gt;8,"Need to reduce number of weapons ordered"," ")</f>
        <v xml:space="preserve"> </v>
      </c>
    </row>
    <row r="129" spans="1:13" ht="18" thickBot="1" x14ac:dyDescent="0.55000000000000004">
      <c r="A129" s="87" t="s">
        <v>144</v>
      </c>
      <c r="B129" s="151" t="str">
        <f>IF(B119&gt;2,8," ")</f>
        <v xml:space="preserve"> </v>
      </c>
      <c r="C129" s="157"/>
      <c r="D129" s="158"/>
      <c r="E129" s="157"/>
      <c r="F129" s="158"/>
      <c r="G129" s="157"/>
      <c r="H129" s="158"/>
      <c r="I129" s="157"/>
      <c r="J129" s="158"/>
      <c r="K129" s="87">
        <f>C129+E129+(G129*2)+(I129*4)</f>
        <v>0</v>
      </c>
      <c r="L129" s="116">
        <f>Data!Q5</f>
        <v>0</v>
      </c>
      <c r="M129" s="93" t="str">
        <f t="shared" si="18"/>
        <v xml:space="preserve"> </v>
      </c>
    </row>
    <row r="130" spans="1:13" ht="18" thickBot="1" x14ac:dyDescent="0.55000000000000004">
      <c r="A130" s="87" t="s">
        <v>145</v>
      </c>
      <c r="B130" s="151" t="str">
        <f>IF(B119&gt;3,8," ")</f>
        <v xml:space="preserve"> </v>
      </c>
      <c r="C130" s="157"/>
      <c r="D130" s="158"/>
      <c r="E130" s="157"/>
      <c r="F130" s="158"/>
      <c r="G130" s="157"/>
      <c r="H130" s="158"/>
      <c r="I130" s="157"/>
      <c r="J130" s="158"/>
      <c r="K130" s="87">
        <f>C130+E130+(G130*2)+(I130*4)</f>
        <v>0</v>
      </c>
      <c r="L130" s="116">
        <f>Data!Q6</f>
        <v>0</v>
      </c>
      <c r="M130" s="93" t="str">
        <f t="shared" si="18"/>
        <v xml:space="preserve"> </v>
      </c>
    </row>
    <row r="131" spans="1:13" ht="18" thickBot="1" x14ac:dyDescent="0.55000000000000004">
      <c r="K131" s="87" t="s">
        <v>2</v>
      </c>
      <c r="L131" s="116">
        <f>SUM(L127:L130)</f>
        <v>0</v>
      </c>
    </row>
    <row r="132" spans="1:13" x14ac:dyDescent="0.5">
      <c r="A132" s="85" t="s">
        <v>6</v>
      </c>
    </row>
    <row r="133" spans="1:13" x14ac:dyDescent="0.5">
      <c r="B133" s="119"/>
      <c r="C133" s="119"/>
      <c r="D133" s="119"/>
      <c r="E133" s="119"/>
      <c r="F133" s="119"/>
      <c r="G133" s="119"/>
      <c r="H133" s="119"/>
      <c r="I133" s="119"/>
    </row>
    <row r="134" spans="1:13" ht="18" thickBot="1" x14ac:dyDescent="0.55000000000000004">
      <c r="A134" s="118" t="s">
        <v>165</v>
      </c>
      <c r="B134" s="135"/>
      <c r="C134" s="135"/>
      <c r="D134" s="135"/>
      <c r="E134" s="135"/>
      <c r="F134" s="94"/>
      <c r="G134" s="94"/>
    </row>
    <row r="135" spans="1:13" ht="18" thickBot="1" x14ac:dyDescent="0.55000000000000004">
      <c r="A135" s="189"/>
      <c r="B135" s="189"/>
      <c r="C135" s="135"/>
      <c r="D135" s="87" t="s">
        <v>160</v>
      </c>
      <c r="E135" s="87" t="s">
        <v>161</v>
      </c>
      <c r="F135" s="87" t="s">
        <v>162</v>
      </c>
      <c r="G135" s="87" t="s">
        <v>163</v>
      </c>
      <c r="H135" s="87" t="s">
        <v>117</v>
      </c>
      <c r="I135" s="87" t="s">
        <v>164</v>
      </c>
    </row>
    <row r="136" spans="1:13" ht="18" thickBot="1" x14ac:dyDescent="0.55000000000000004">
      <c r="A136" s="189"/>
      <c r="B136" s="189"/>
      <c r="C136" s="135"/>
      <c r="D136" s="161">
        <v>0</v>
      </c>
      <c r="E136" s="161">
        <v>0</v>
      </c>
      <c r="F136" s="161">
        <v>0</v>
      </c>
      <c r="G136" s="161">
        <v>0</v>
      </c>
      <c r="H136" s="90">
        <f>(D136*Data!Q17)+(Data!Q18*E136)+(F136*Data!Q17)+(G136*Data!Q17)</f>
        <v>0</v>
      </c>
      <c r="I136" s="87">
        <f>(D136+E136+F136+G136)*200000</f>
        <v>0</v>
      </c>
    </row>
    <row r="139" spans="1:13" x14ac:dyDescent="0.5">
      <c r="A139" s="119"/>
      <c r="B139" s="119"/>
      <c r="C139" s="119"/>
      <c r="D139" s="119"/>
      <c r="E139" s="119"/>
      <c r="F139" s="119"/>
      <c r="G139" s="119"/>
      <c r="H139" s="119"/>
      <c r="I139" s="119"/>
    </row>
    <row r="140" spans="1:13" ht="18" thickBot="1" x14ac:dyDescent="0.55000000000000004">
      <c r="A140" s="123" t="s">
        <v>138</v>
      </c>
    </row>
    <row r="141" spans="1:13" ht="18" thickBot="1" x14ac:dyDescent="0.55000000000000004">
      <c r="A141" s="87" t="s">
        <v>166</v>
      </c>
      <c r="B141" s="87">
        <f>B120*20</f>
        <v>0</v>
      </c>
    </row>
    <row r="142" spans="1:13" ht="18" thickBot="1" x14ac:dyDescent="0.55000000000000004"/>
    <row r="143" spans="1:13" x14ac:dyDescent="0.5">
      <c r="A143" s="131"/>
      <c r="B143" s="132"/>
      <c r="C143" s="132"/>
      <c r="D143" s="132"/>
      <c r="E143" s="132"/>
      <c r="F143" s="200" t="s">
        <v>170</v>
      </c>
      <c r="G143" s="136"/>
    </row>
    <row r="144" spans="1:13" ht="18" thickBot="1" x14ac:dyDescent="0.55000000000000004">
      <c r="A144" s="133" t="s">
        <v>167</v>
      </c>
      <c r="B144" s="134" t="s">
        <v>168</v>
      </c>
      <c r="C144" s="134" t="s">
        <v>123</v>
      </c>
      <c r="D144" s="134" t="s">
        <v>169</v>
      </c>
      <c r="E144" s="134" t="s">
        <v>148</v>
      </c>
      <c r="F144" s="201"/>
      <c r="G144" s="137" t="s">
        <v>117</v>
      </c>
    </row>
    <row r="145" spans="1:8" ht="18" thickBot="1" x14ac:dyDescent="0.55000000000000004">
      <c r="A145" s="158"/>
      <c r="B145" s="87" t="str">
        <f t="shared" ref="B145:B150" si="19">IF(A145&gt;" ",(VLOOKUP(A145,Ship_size,2,FALSE))," ")</f>
        <v xml:space="preserve"> </v>
      </c>
      <c r="C145" s="87" t="str">
        <f t="shared" ref="C145:C150" si="20">IF(A145&gt;" ",(VLOOKUP(A145,Ship_size,3,FALSE))," ")</f>
        <v xml:space="preserve"> </v>
      </c>
      <c r="D145" s="158"/>
      <c r="E145" s="158"/>
      <c r="F145" s="87">
        <f>IF(A145&gt;" ",(B145*D145),0)</f>
        <v>0</v>
      </c>
      <c r="G145" s="116">
        <f>IF(A145&gt;" ",(VLOOKUP(A145,Ship_size,Data!E40,FALSE)*D145),0)</f>
        <v>0</v>
      </c>
      <c r="H145" s="88"/>
    </row>
    <row r="146" spans="1:8" ht="18" thickBot="1" x14ac:dyDescent="0.55000000000000004">
      <c r="A146" s="158"/>
      <c r="B146" s="87" t="str">
        <f t="shared" si="19"/>
        <v xml:space="preserve"> </v>
      </c>
      <c r="C146" s="87" t="str">
        <f t="shared" si="20"/>
        <v xml:space="preserve"> </v>
      </c>
      <c r="D146" s="158"/>
      <c r="E146" s="158"/>
      <c r="F146" s="87">
        <f t="shared" ref="F146:F148" si="21">IF(A146&gt;" ",(B146*D146),0)</f>
        <v>0</v>
      </c>
      <c r="G146" s="116">
        <f>IF(A146&gt;" ",(VLOOKUP(A146,Ship_size,Data!E41,FALSE)*D146),0)</f>
        <v>0</v>
      </c>
      <c r="H146" s="88"/>
    </row>
    <row r="147" spans="1:8" ht="18" thickBot="1" x14ac:dyDescent="0.55000000000000004">
      <c r="A147" s="158"/>
      <c r="B147" s="87" t="str">
        <f t="shared" si="19"/>
        <v xml:space="preserve"> </v>
      </c>
      <c r="C147" s="87" t="str">
        <f t="shared" si="20"/>
        <v xml:space="preserve"> </v>
      </c>
      <c r="D147" s="158"/>
      <c r="E147" s="158"/>
      <c r="F147" s="87">
        <f t="shared" si="21"/>
        <v>0</v>
      </c>
      <c r="G147" s="116">
        <f>IF(A147&gt;" ",(VLOOKUP(A147,Ship_size,Data!E42,FALSE)*D147),0)</f>
        <v>0</v>
      </c>
      <c r="H147" s="88"/>
    </row>
    <row r="148" spans="1:8" ht="18" thickBot="1" x14ac:dyDescent="0.55000000000000004">
      <c r="A148" s="158"/>
      <c r="B148" s="87" t="str">
        <f t="shared" si="19"/>
        <v xml:space="preserve"> </v>
      </c>
      <c r="C148" s="87" t="str">
        <f t="shared" si="20"/>
        <v xml:space="preserve"> </v>
      </c>
      <c r="D148" s="158"/>
      <c r="E148" s="158"/>
      <c r="F148" s="87">
        <f t="shared" si="21"/>
        <v>0</v>
      </c>
      <c r="G148" s="116">
        <f>IF(A148&gt;" ",(VLOOKUP(A148,Ship_size,Data!E43,FALSE)*D148),0)</f>
        <v>0</v>
      </c>
      <c r="H148" s="88"/>
    </row>
    <row r="149" spans="1:8" ht="18" thickBot="1" x14ac:dyDescent="0.55000000000000004">
      <c r="A149" s="158"/>
      <c r="B149" s="87" t="str">
        <f t="shared" si="19"/>
        <v xml:space="preserve"> </v>
      </c>
      <c r="C149" s="87" t="str">
        <f t="shared" si="20"/>
        <v xml:space="preserve"> </v>
      </c>
      <c r="D149" s="158"/>
      <c r="E149" s="158"/>
      <c r="F149" s="87">
        <f t="shared" ref="F149:F150" si="22">IF(A149&gt;" ",(B149*D149),0)</f>
        <v>0</v>
      </c>
      <c r="G149" s="116">
        <f>IF(A149&gt;" ",(VLOOKUP(A149,Ship_size,Data!E44,FALSE)*D149),0)</f>
        <v>0</v>
      </c>
      <c r="H149" s="138"/>
    </row>
    <row r="150" spans="1:8" ht="18" thickBot="1" x14ac:dyDescent="0.55000000000000004">
      <c r="A150" s="158"/>
      <c r="B150" s="87" t="str">
        <f t="shared" si="19"/>
        <v xml:space="preserve"> </v>
      </c>
      <c r="C150" s="87" t="str">
        <f t="shared" si="20"/>
        <v xml:space="preserve"> </v>
      </c>
      <c r="D150" s="158"/>
      <c r="E150" s="158"/>
      <c r="F150" s="87">
        <f t="shared" si="22"/>
        <v>0</v>
      </c>
      <c r="G150" s="116">
        <f>IF(A150&gt;" ",(VLOOKUP(A150,Ship_size,Data!E45,FALSE)*D150),0)</f>
        <v>0</v>
      </c>
    </row>
    <row r="151" spans="1:8" ht="18" thickBot="1" x14ac:dyDescent="0.55000000000000004">
      <c r="C151" s="139" t="s">
        <v>6</v>
      </c>
      <c r="D151" s="140" t="s">
        <v>6</v>
      </c>
      <c r="E151" s="87" t="s">
        <v>2</v>
      </c>
      <c r="F151" s="87">
        <f>SUM(F145:F150)</f>
        <v>0</v>
      </c>
      <c r="G151" s="116">
        <f>SUM(G145:G150)</f>
        <v>0</v>
      </c>
      <c r="H151" s="93" t="str">
        <f>IF(F151&gt;B141,"Ship sizes used exceeds number of ship sizes ava"," ")</f>
        <v xml:space="preserve"> </v>
      </c>
    </row>
    <row r="153" spans="1:8" ht="18" thickBot="1" x14ac:dyDescent="0.55000000000000004">
      <c r="A153" s="85" t="s">
        <v>6</v>
      </c>
    </row>
    <row r="154" spans="1:8" x14ac:dyDescent="0.5">
      <c r="A154" s="131"/>
      <c r="B154" s="132"/>
      <c r="C154" s="132"/>
      <c r="D154" s="132"/>
      <c r="E154" s="132"/>
      <c r="F154" s="200"/>
      <c r="G154" s="136"/>
    </row>
    <row r="155" spans="1:8" ht="18" thickBot="1" x14ac:dyDescent="0.55000000000000004">
      <c r="A155" s="133" t="s">
        <v>177</v>
      </c>
      <c r="B155" s="134" t="s">
        <v>148</v>
      </c>
      <c r="C155" s="134" t="s">
        <v>169</v>
      </c>
      <c r="D155" s="141" t="s">
        <v>178</v>
      </c>
      <c r="E155" s="134"/>
      <c r="F155" s="201"/>
      <c r="G155" s="137"/>
    </row>
    <row r="156" spans="1:8" ht="18" thickBot="1" x14ac:dyDescent="0.55000000000000004">
      <c r="A156" s="87" t="s">
        <v>171</v>
      </c>
      <c r="B156" s="87" t="s">
        <v>23</v>
      </c>
      <c r="C156" s="87">
        <v>4</v>
      </c>
      <c r="D156" s="87">
        <v>1</v>
      </c>
    </row>
    <row r="157" spans="1:8" ht="18" thickBot="1" x14ac:dyDescent="0.55000000000000004">
      <c r="A157" s="87"/>
      <c r="B157" s="87"/>
      <c r="C157" s="87"/>
      <c r="D157" s="87"/>
    </row>
    <row r="158" spans="1:8" ht="18" thickBot="1" x14ac:dyDescent="0.55000000000000004">
      <c r="A158" s="87"/>
      <c r="B158" s="87"/>
      <c r="C158" s="87"/>
      <c r="D158" s="87"/>
    </row>
    <row r="159" spans="1:8" ht="18" thickBot="1" x14ac:dyDescent="0.55000000000000004">
      <c r="A159" s="87"/>
      <c r="B159" s="87"/>
      <c r="C159" s="87"/>
      <c r="D159" s="87"/>
    </row>
    <row r="160" spans="1:8" ht="18" thickBot="1" x14ac:dyDescent="0.55000000000000004">
      <c r="F160" s="87" t="s">
        <v>2</v>
      </c>
      <c r="G160" s="90">
        <v>0</v>
      </c>
    </row>
    <row r="162" spans="1:14" ht="18" thickBot="1" x14ac:dyDescent="0.55000000000000004">
      <c r="A162" s="142" t="s">
        <v>179</v>
      </c>
      <c r="B162" s="143"/>
      <c r="C162" s="143"/>
      <c r="D162" s="143"/>
      <c r="E162" s="143"/>
      <c r="F162" s="143"/>
      <c r="G162" s="143"/>
    </row>
    <row r="163" spans="1:14" ht="18" thickBot="1" x14ac:dyDescent="0.55000000000000004">
      <c r="A163" s="144" t="s">
        <v>181</v>
      </c>
      <c r="B163" s="144" t="s">
        <v>180</v>
      </c>
      <c r="C163" s="144" t="s">
        <v>117</v>
      </c>
    </row>
    <row r="164" spans="1:14" ht="18" thickBot="1" x14ac:dyDescent="0.55000000000000004">
      <c r="A164" s="162"/>
      <c r="B164" s="162"/>
      <c r="C164" s="116" t="str">
        <f>IF(B164&gt;0,(VLOOKUP(B164,MilitaryB_cost,2,FALSE))," ")</f>
        <v xml:space="preserve"> </v>
      </c>
    </row>
    <row r="165" spans="1:14" ht="18" thickBot="1" x14ac:dyDescent="0.55000000000000004">
      <c r="A165" s="162"/>
      <c r="B165" s="162"/>
      <c r="C165" s="116" t="str">
        <f>IF(B165&gt;0,(VLOOKUP(B165,MilitaryB_cost,2,FALSE))," ")</f>
        <v xml:space="preserve"> </v>
      </c>
    </row>
    <row r="166" spans="1:14" ht="18" thickBot="1" x14ac:dyDescent="0.55000000000000004">
      <c r="A166" s="162"/>
      <c r="B166" s="162"/>
      <c r="C166" s="116" t="str">
        <f>IF(B166&gt;0,(VLOOKUP(B166,MilitaryB_cost,2,FALSE))," ")</f>
        <v xml:space="preserve"> </v>
      </c>
    </row>
    <row r="167" spans="1:14" ht="18" thickBot="1" x14ac:dyDescent="0.55000000000000004">
      <c r="A167" s="162"/>
      <c r="B167" s="162"/>
      <c r="C167" s="116" t="str">
        <f>IF(B167&gt;0,(VLOOKUP(B167,MilitaryB_cost,2,FALSE))," ")</f>
        <v xml:space="preserve"> </v>
      </c>
    </row>
    <row r="168" spans="1:14" ht="18" thickBot="1" x14ac:dyDescent="0.55000000000000004">
      <c r="B168" s="87" t="s">
        <v>41</v>
      </c>
      <c r="C168" s="116">
        <f>SUM(C164:C167)</f>
        <v>0</v>
      </c>
    </row>
    <row r="171" spans="1:14" x14ac:dyDescent="0.5">
      <c r="B171" s="119"/>
      <c r="C171" s="119"/>
      <c r="D171" s="119"/>
      <c r="E171" s="119"/>
      <c r="F171" s="119"/>
      <c r="G171" s="119"/>
      <c r="H171" s="119"/>
      <c r="I171" s="119"/>
    </row>
    <row r="172" spans="1:14" ht="18" thickBot="1" x14ac:dyDescent="0.55000000000000004">
      <c r="A172" s="118" t="s">
        <v>182</v>
      </c>
    </row>
    <row r="173" spans="1:14" ht="18" thickBot="1" x14ac:dyDescent="0.55000000000000004">
      <c r="A173" s="185" t="s">
        <v>183</v>
      </c>
      <c r="B173" s="186"/>
      <c r="C173" s="186"/>
      <c r="D173" s="186"/>
      <c r="E173" s="186"/>
      <c r="F173" s="187"/>
      <c r="G173" s="145" t="s">
        <v>184</v>
      </c>
      <c r="N173" s="146"/>
    </row>
    <row r="174" spans="1:14" ht="19.5" customHeight="1" thickBot="1" x14ac:dyDescent="0.55000000000000004">
      <c r="A174" s="202"/>
      <c r="B174" s="203"/>
      <c r="C174" s="203"/>
      <c r="D174" s="203"/>
      <c r="E174" s="203"/>
      <c r="F174" s="204"/>
      <c r="G174" s="160"/>
    </row>
    <row r="175" spans="1:14" ht="18" thickBot="1" x14ac:dyDescent="0.55000000000000004">
      <c r="A175" s="202"/>
      <c r="B175" s="203"/>
      <c r="C175" s="203"/>
      <c r="D175" s="203"/>
      <c r="E175" s="203"/>
      <c r="F175" s="204"/>
      <c r="G175" s="160"/>
    </row>
    <row r="176" spans="1:14" ht="19.5" customHeight="1" thickBot="1" x14ac:dyDescent="0.55000000000000004">
      <c r="A176" s="202"/>
      <c r="B176" s="203"/>
      <c r="C176" s="203"/>
      <c r="D176" s="203"/>
      <c r="E176" s="203"/>
      <c r="F176" s="204"/>
      <c r="G176" s="160"/>
    </row>
    <row r="177" spans="1:7" ht="19.5" customHeight="1" thickBot="1" x14ac:dyDescent="0.55000000000000004">
      <c r="A177" s="202"/>
      <c r="B177" s="203"/>
      <c r="C177" s="203"/>
      <c r="D177" s="203"/>
      <c r="E177" s="203"/>
      <c r="F177" s="204"/>
      <c r="G177" s="160"/>
    </row>
    <row r="178" spans="1:7" ht="19.5" customHeight="1" thickBot="1" x14ac:dyDescent="0.55000000000000004">
      <c r="A178" s="202"/>
      <c r="B178" s="203"/>
      <c r="C178" s="203"/>
      <c r="D178" s="203"/>
      <c r="E178" s="203"/>
      <c r="F178" s="204"/>
      <c r="G178" s="160"/>
    </row>
    <row r="179" spans="1:7" ht="19.5" customHeight="1" thickBot="1" x14ac:dyDescent="0.55000000000000004">
      <c r="A179" s="202"/>
      <c r="B179" s="203"/>
      <c r="C179" s="203"/>
      <c r="D179" s="203"/>
      <c r="E179" s="203"/>
      <c r="F179" s="204"/>
      <c r="G179" s="160"/>
    </row>
    <row r="180" spans="1:7" ht="19.5" customHeight="1" thickBot="1" x14ac:dyDescent="0.55000000000000004">
      <c r="A180" s="202"/>
      <c r="B180" s="203"/>
      <c r="C180" s="203"/>
      <c r="D180" s="203"/>
      <c r="E180" s="203"/>
      <c r="F180" s="204"/>
      <c r="G180" s="160"/>
    </row>
    <row r="181" spans="1:7" ht="19.5" customHeight="1" thickBot="1" x14ac:dyDescent="0.55000000000000004">
      <c r="A181" s="202"/>
      <c r="B181" s="203"/>
      <c r="C181" s="203"/>
      <c r="D181" s="203"/>
      <c r="E181" s="203"/>
      <c r="F181" s="204"/>
      <c r="G181" s="160"/>
    </row>
    <row r="182" spans="1:7" ht="19.5" customHeight="1" thickBot="1" x14ac:dyDescent="0.55000000000000004">
      <c r="A182" s="202"/>
      <c r="B182" s="203"/>
      <c r="C182" s="203"/>
      <c r="D182" s="203"/>
      <c r="E182" s="203"/>
      <c r="F182" s="204"/>
      <c r="G182" s="160"/>
    </row>
    <row r="183" spans="1:7" ht="19.5" customHeight="1" thickBot="1" x14ac:dyDescent="0.55000000000000004">
      <c r="A183" s="202"/>
      <c r="B183" s="203"/>
      <c r="C183" s="203"/>
      <c r="D183" s="203"/>
      <c r="E183" s="203"/>
      <c r="F183" s="204"/>
      <c r="G183" s="160"/>
    </row>
    <row r="184" spans="1:7" ht="18" thickBot="1" x14ac:dyDescent="0.55000000000000004">
      <c r="A184" s="202"/>
      <c r="B184" s="203"/>
      <c r="C184" s="203"/>
      <c r="D184" s="203"/>
      <c r="E184" s="203"/>
      <c r="F184" s="204"/>
      <c r="G184" s="160"/>
    </row>
    <row r="185" spans="1:7" ht="18" thickBot="1" x14ac:dyDescent="0.55000000000000004">
      <c r="A185" s="210"/>
      <c r="B185" s="211"/>
      <c r="C185" s="211"/>
      <c r="D185" s="211"/>
      <c r="E185" s="211"/>
      <c r="F185" s="212"/>
      <c r="G185" s="160"/>
    </row>
    <row r="186" spans="1:7" ht="18" thickBot="1" x14ac:dyDescent="0.55000000000000004">
      <c r="A186" s="202"/>
      <c r="B186" s="203"/>
      <c r="C186" s="203"/>
      <c r="D186" s="203"/>
      <c r="E186" s="203"/>
      <c r="F186" s="204"/>
      <c r="G186" s="163"/>
    </row>
    <row r="187" spans="1:7" ht="18" thickBot="1" x14ac:dyDescent="0.55000000000000004">
      <c r="A187" s="202"/>
      <c r="B187" s="203"/>
      <c r="C187" s="203"/>
      <c r="D187" s="203"/>
      <c r="E187" s="203"/>
      <c r="F187" s="204"/>
      <c r="G187" s="163"/>
    </row>
    <row r="188" spans="1:7" ht="18" thickBot="1" x14ac:dyDescent="0.55000000000000004">
      <c r="A188" s="207"/>
      <c r="B188" s="208"/>
      <c r="C188" s="208"/>
      <c r="D188" s="208"/>
      <c r="E188" s="208"/>
      <c r="F188" s="209"/>
      <c r="G188" s="163"/>
    </row>
    <row r="189" spans="1:7" ht="18" thickBot="1" x14ac:dyDescent="0.55000000000000004">
      <c r="A189" s="202"/>
      <c r="B189" s="203"/>
      <c r="C189" s="203"/>
      <c r="D189" s="203"/>
      <c r="E189" s="203"/>
      <c r="F189" s="204"/>
      <c r="G189" s="160"/>
    </row>
    <row r="190" spans="1:7" ht="18" thickBot="1" x14ac:dyDescent="0.55000000000000004">
      <c r="A190" s="202"/>
      <c r="B190" s="203"/>
      <c r="C190" s="203"/>
      <c r="D190" s="203"/>
      <c r="E190" s="203"/>
      <c r="F190" s="204"/>
      <c r="G190" s="160"/>
    </row>
    <row r="191" spans="1:7" ht="18" thickBot="1" x14ac:dyDescent="0.55000000000000004">
      <c r="A191" s="207"/>
      <c r="B191" s="208"/>
      <c r="C191" s="208"/>
      <c r="D191" s="208"/>
      <c r="E191" s="208"/>
      <c r="F191" s="209"/>
      <c r="G191" s="160"/>
    </row>
    <row r="192" spans="1:7" ht="18" thickBot="1" x14ac:dyDescent="0.55000000000000004">
      <c r="A192" s="202"/>
      <c r="B192" s="208"/>
      <c r="C192" s="208"/>
      <c r="D192" s="208"/>
      <c r="E192" s="208"/>
      <c r="F192" s="209"/>
      <c r="G192" s="160"/>
    </row>
    <row r="193" spans="5:7" ht="41.25" customHeight="1" thickBot="1" x14ac:dyDescent="0.55000000000000004"/>
    <row r="194" spans="5:7" ht="18" thickBot="1" x14ac:dyDescent="0.55000000000000004">
      <c r="F194" s="87" t="s">
        <v>2</v>
      </c>
      <c r="G194" s="116">
        <f>SUM(G174:G192)</f>
        <v>0</v>
      </c>
    </row>
    <row r="195" spans="5:7" ht="18" thickBot="1" x14ac:dyDescent="0.55000000000000004"/>
    <row r="196" spans="5:7" ht="18" thickBot="1" x14ac:dyDescent="0.55000000000000004">
      <c r="E196" s="185" t="s">
        <v>108</v>
      </c>
      <c r="F196" s="187"/>
      <c r="G196" s="116">
        <f>E116-L131-H136-G151-G160-C168-G194</f>
        <v>137.5</v>
      </c>
    </row>
  </sheetData>
  <sheetProtection algorithmName="SHA-512" hashValue="EZLN74Le0csMvrfsCgVI0pr13SPjrTdpY5QgAb/fFSuEA8ZE26233iuPbUulGqNsg2ngwydCv0zWWg/7YVZXkw==" saltValue="/cDj6vuqbruwOs5noNmLrA==" spinCount="100000" sheet="1" objects="1" scenarios="1"/>
  <dataConsolidate/>
  <mergeCells count="51">
    <mergeCell ref="A1:P1"/>
    <mergeCell ref="A66:P66"/>
    <mergeCell ref="A186:F186"/>
    <mergeCell ref="A189:F189"/>
    <mergeCell ref="A185:F185"/>
    <mergeCell ref="A173:F173"/>
    <mergeCell ref="A174:F174"/>
    <mergeCell ref="A177:F177"/>
    <mergeCell ref="A180:F180"/>
    <mergeCell ref="A182:F182"/>
    <mergeCell ref="A181:F181"/>
    <mergeCell ref="A176:F176"/>
    <mergeCell ref="A178:F178"/>
    <mergeCell ref="A179:F179"/>
    <mergeCell ref="G69:G70"/>
    <mergeCell ref="F69:F70"/>
    <mergeCell ref="A190:F190"/>
    <mergeCell ref="A191:F191"/>
    <mergeCell ref="A187:F187"/>
    <mergeCell ref="A188:F188"/>
    <mergeCell ref="E196:F196"/>
    <mergeCell ref="A192:F192"/>
    <mergeCell ref="E69:E70"/>
    <mergeCell ref="L125:L126"/>
    <mergeCell ref="H69:H70"/>
    <mergeCell ref="K125:K126"/>
    <mergeCell ref="A184:F184"/>
    <mergeCell ref="A175:F175"/>
    <mergeCell ref="F143:F144"/>
    <mergeCell ref="F154:F155"/>
    <mergeCell ref="A183:F183"/>
    <mergeCell ref="A135:B136"/>
    <mergeCell ref="A69:A70"/>
    <mergeCell ref="D69:D70"/>
    <mergeCell ref="C69:C70"/>
    <mergeCell ref="B69:B70"/>
    <mergeCell ref="J39:M39"/>
    <mergeCell ref="B39:D39"/>
    <mergeCell ref="A18:P18"/>
    <mergeCell ref="A7:B7"/>
    <mergeCell ref="A37:P37"/>
    <mergeCell ref="G12:H12"/>
    <mergeCell ref="G13:H13"/>
    <mergeCell ref="K11:K12"/>
    <mergeCell ref="I20:N20"/>
    <mergeCell ref="K21:L21"/>
    <mergeCell ref="M21:N21"/>
    <mergeCell ref="G7:H7"/>
    <mergeCell ref="G8:H8"/>
    <mergeCell ref="D12:D13"/>
    <mergeCell ref="O29:Q29"/>
  </mergeCells>
  <phoneticPr fontId="14" type="noConversion"/>
  <dataValidations count="7">
    <dataValidation type="list" showInputMessage="1" showErrorMessage="1" sqref="D85:D88 G94:G97" xr:uid="{00000000-0002-0000-0000-000000000000}">
      <formula1>Yes_No</formula1>
    </dataValidation>
    <dataValidation type="list" showInputMessage="1" showErrorMessage="1" sqref="D127:D130 F127:F130 H127:H130 J127:J130 B156:B159 E145:E150" xr:uid="{00000000-0002-0000-0000-000001000000}">
      <formula1>Weapon_Quality</formula1>
    </dataValidation>
    <dataValidation type="list" showInputMessage="1" showErrorMessage="1" sqref="A156:A159 A145:A150" xr:uid="{00000000-0002-0000-0000-000002000000}">
      <formula1>Ship_types</formula1>
    </dataValidation>
    <dataValidation type="list" allowBlank="1" showInputMessage="1" showErrorMessage="1" sqref="B6" xr:uid="{00000000-0002-0000-0000-000004000000}">
      <formula1>Econ_level</formula1>
    </dataValidation>
    <dataValidation type="list" showInputMessage="1" showErrorMessage="1" sqref="D103:D111 D71:D81" xr:uid="{00000000-0002-0000-0000-000005000000}">
      <formula1>Invest_option</formula1>
    </dataValidation>
    <dataValidation type="list" showInputMessage="1" showErrorMessage="1" sqref="B164:B167" xr:uid="{00000000-0002-0000-0000-000003000000}">
      <formula1>Mil_Buildings</formula1>
    </dataValidation>
    <dataValidation showInputMessage="1" showErrorMessage="1" sqref="H71:H81" xr:uid="{34E55BD4-9165-4095-923E-D45A826A78B9}"/>
  </dataValidations>
  <pageMargins left="0.7" right="0.7" top="0.75" bottom="0.75" header="0.3" footer="0.3"/>
  <pageSetup orientation="portrait" r:id="rId1"/>
  <ignoredErrors>
    <ignoredError sqref="E25" formula="1"/>
  </ignoredErrors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F76FC5A7-133C-40FB-8751-06DEED306061}">
          <x14:formula1>
            <xm:f>Colonias!$B$35:$B$38</xm:f>
          </x14:formula1>
          <xm:sqref>A77:A81</xm:sqref>
        </x14:dataValidation>
        <x14:dataValidation type="list" allowBlank="1" showInputMessage="1" showErrorMessage="1" xr:uid="{D108ECA7-21BA-44BA-9BFC-194FD0CB5C9B}">
          <x14:formula1>
            <xm:f>Ferrocarriles!$G$5:$G$10</xm:f>
          </x14:formula1>
          <xm:sqref>A85:A88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T102"/>
  <sheetViews>
    <sheetView showGridLines="0" topLeftCell="A36" workbookViewId="0">
      <selection activeCell="D39" sqref="D39"/>
    </sheetView>
  </sheetViews>
  <sheetFormatPr defaultColWidth="9.1328125" defaultRowHeight="15.4" x14ac:dyDescent="0.45"/>
  <cols>
    <col min="1" max="1" width="16.53125" style="20" customWidth="1"/>
    <col min="2" max="2" width="11.86328125" style="20" customWidth="1"/>
    <col min="3" max="3" width="9.86328125" style="20" customWidth="1"/>
    <col min="4" max="5" width="9.1328125" style="20"/>
    <col min="6" max="6" width="10.6640625" style="20" customWidth="1"/>
    <col min="7" max="7" width="12.3984375" style="20" customWidth="1"/>
    <col min="8" max="8" width="10.53125" style="20" customWidth="1"/>
    <col min="9" max="10" width="9.1328125" style="20"/>
    <col min="11" max="11" width="11.6640625" style="20" customWidth="1"/>
    <col min="12" max="12" width="10.6640625" style="20" customWidth="1"/>
    <col min="13" max="13" width="13" style="20" customWidth="1"/>
    <col min="14" max="14" width="10.53125" style="20" customWidth="1"/>
    <col min="15" max="15" width="9.1328125" style="20"/>
    <col min="16" max="16" width="10" style="20" customWidth="1"/>
    <col min="17" max="16384" width="9.1328125" style="20"/>
  </cols>
  <sheetData>
    <row r="2" spans="1:20" x14ac:dyDescent="0.45">
      <c r="A2" s="246" t="s">
        <v>190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  <c r="T2" s="246"/>
    </row>
    <row r="5" spans="1:20" ht="15.75" thickBot="1" x14ac:dyDescent="0.5">
      <c r="A5" s="84" t="s">
        <v>191</v>
      </c>
    </row>
    <row r="6" spans="1:20" ht="15.75" thickBot="1" x14ac:dyDescent="0.5">
      <c r="A6" s="50"/>
      <c r="B6" s="215" t="s">
        <v>160</v>
      </c>
      <c r="C6" s="215" t="s">
        <v>148</v>
      </c>
      <c r="D6" s="215" t="s">
        <v>189</v>
      </c>
      <c r="E6" s="215" t="s">
        <v>148</v>
      </c>
      <c r="F6" s="215" t="s">
        <v>147</v>
      </c>
      <c r="G6" s="215" t="s">
        <v>148</v>
      </c>
      <c r="H6" s="215" t="s">
        <v>149</v>
      </c>
      <c r="I6" s="215" t="s">
        <v>148</v>
      </c>
      <c r="J6" s="215" t="s">
        <v>150</v>
      </c>
      <c r="K6" s="239" t="s">
        <v>148</v>
      </c>
      <c r="N6" s="213" t="s">
        <v>192</v>
      </c>
      <c r="O6" s="213"/>
      <c r="P6" s="213"/>
    </row>
    <row r="7" spans="1:20" ht="15.75" thickBot="1" x14ac:dyDescent="0.5">
      <c r="A7" s="51" t="s">
        <v>181</v>
      </c>
      <c r="B7" s="216"/>
      <c r="C7" s="216"/>
      <c r="D7" s="216"/>
      <c r="E7" s="216"/>
      <c r="F7" s="216"/>
      <c r="G7" s="216"/>
      <c r="H7" s="216"/>
      <c r="I7" s="216"/>
      <c r="J7" s="216"/>
      <c r="K7" s="240"/>
      <c r="N7" s="7"/>
      <c r="O7" s="49" t="s">
        <v>117</v>
      </c>
      <c r="P7" s="49" t="s">
        <v>194</v>
      </c>
    </row>
    <row r="8" spans="1:20" ht="15.75" thickBot="1" x14ac:dyDescent="0.5">
      <c r="A8" s="49" t="s">
        <v>246</v>
      </c>
      <c r="B8" s="49">
        <v>4</v>
      </c>
      <c r="C8" s="49" t="s">
        <v>23</v>
      </c>
      <c r="D8" s="49">
        <v>4</v>
      </c>
      <c r="E8" s="49" t="s">
        <v>23</v>
      </c>
      <c r="F8" s="49">
        <v>4</v>
      </c>
      <c r="G8" s="49" t="s">
        <v>23</v>
      </c>
      <c r="H8" s="49">
        <v>2</v>
      </c>
      <c r="I8" s="49" t="s">
        <v>23</v>
      </c>
      <c r="J8" s="49"/>
      <c r="K8" s="49"/>
      <c r="N8" s="49" t="s">
        <v>193</v>
      </c>
      <c r="O8" s="7"/>
      <c r="P8" s="52">
        <f>B37/1000000</f>
        <v>1.8</v>
      </c>
    </row>
    <row r="9" spans="1:20" ht="15.75" thickBot="1" x14ac:dyDescent="0.5">
      <c r="A9" s="153"/>
      <c r="B9" s="49"/>
      <c r="C9" s="49"/>
      <c r="D9" s="49"/>
      <c r="E9" s="49"/>
      <c r="F9" s="49"/>
      <c r="G9" s="49"/>
      <c r="H9" s="49">
        <v>1</v>
      </c>
      <c r="I9" s="49" t="s">
        <v>24</v>
      </c>
      <c r="J9" s="49"/>
      <c r="K9" s="49"/>
      <c r="N9" s="49" t="s">
        <v>138</v>
      </c>
      <c r="O9" s="53">
        <f>B65</f>
        <v>9</v>
      </c>
      <c r="P9" s="49">
        <f>B66</f>
        <v>0.17</v>
      </c>
    </row>
    <row r="10" spans="1:20" ht="15.75" thickBot="1" x14ac:dyDescent="0.5">
      <c r="A10" s="49"/>
      <c r="B10" s="49"/>
      <c r="C10" s="49"/>
      <c r="D10" s="49"/>
      <c r="E10" s="49"/>
      <c r="F10" s="49"/>
      <c r="G10" s="49"/>
      <c r="H10" s="49"/>
      <c r="I10" s="49"/>
      <c r="J10" s="49"/>
      <c r="K10" s="49"/>
      <c r="N10" s="7"/>
      <c r="O10" s="54"/>
      <c r="P10" s="7"/>
    </row>
    <row r="11" spans="1:20" ht="15.75" thickBot="1" x14ac:dyDescent="0.5">
      <c r="A11" s="49"/>
      <c r="B11" s="49"/>
      <c r="C11" s="49"/>
      <c r="D11" s="49"/>
      <c r="E11" s="49"/>
      <c r="F11" s="49"/>
      <c r="G11" s="49"/>
      <c r="H11" s="49"/>
      <c r="I11" s="49"/>
      <c r="J11" s="49"/>
      <c r="K11" s="49"/>
      <c r="N11" s="49" t="s">
        <v>195</v>
      </c>
      <c r="O11" s="53">
        <f>B99</f>
        <v>6</v>
      </c>
      <c r="P11" s="7"/>
    </row>
    <row r="12" spans="1:20" ht="15.75" thickBot="1" x14ac:dyDescent="0.5">
      <c r="A12" s="49"/>
      <c r="B12" s="49"/>
      <c r="C12" s="49"/>
      <c r="D12" s="49"/>
      <c r="E12" s="49"/>
      <c r="F12" s="49"/>
      <c r="G12" s="49"/>
      <c r="H12" s="49"/>
      <c r="I12" s="49"/>
      <c r="J12" s="49"/>
      <c r="K12" s="49"/>
      <c r="N12" s="49" t="s">
        <v>43</v>
      </c>
      <c r="O12" s="53">
        <f>SUM(O9:O11)</f>
        <v>15</v>
      </c>
      <c r="P12" s="52">
        <f>P8+P9</f>
        <v>1.97</v>
      </c>
    </row>
    <row r="13" spans="1:20" ht="15.75" thickBot="1" x14ac:dyDescent="0.5">
      <c r="A13" s="49"/>
      <c r="B13" s="49"/>
      <c r="C13" s="49"/>
      <c r="D13" s="49"/>
      <c r="E13" s="49"/>
      <c r="F13" s="49"/>
      <c r="G13" s="49"/>
      <c r="H13" s="49"/>
      <c r="I13" s="49"/>
      <c r="J13" s="49"/>
      <c r="K13" s="49"/>
      <c r="N13" s="35"/>
      <c r="O13" s="15"/>
      <c r="P13" s="16"/>
    </row>
    <row r="14" spans="1:20" ht="15.75" thickBot="1" x14ac:dyDescent="0.5">
      <c r="A14" s="49"/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4"/>
      <c r="N14" s="35"/>
      <c r="O14" s="15"/>
      <c r="P14" s="16"/>
    </row>
    <row r="15" spans="1:20" ht="15.75" thickBot="1" x14ac:dyDescent="0.5">
      <c r="A15" s="49"/>
      <c r="B15" s="49"/>
      <c r="C15" s="49"/>
      <c r="D15" s="49"/>
      <c r="E15" s="49"/>
      <c r="F15" s="49"/>
      <c r="G15" s="49"/>
      <c r="H15" s="49"/>
      <c r="I15" s="49"/>
      <c r="J15" s="49"/>
      <c r="K15" s="49"/>
      <c r="N15" s="35"/>
      <c r="O15" s="15"/>
      <c r="P15" s="16"/>
    </row>
    <row r="16" spans="1:20" ht="15.75" thickBot="1" x14ac:dyDescent="0.5">
      <c r="A16" s="49"/>
      <c r="B16" s="49"/>
      <c r="C16" s="49"/>
      <c r="D16" s="49"/>
      <c r="E16" s="49"/>
      <c r="F16" s="49"/>
      <c r="G16" s="49"/>
      <c r="H16" s="49"/>
      <c r="I16" s="49"/>
      <c r="J16" s="49"/>
      <c r="K16" s="49"/>
      <c r="N16" s="35"/>
      <c r="O16" s="15"/>
      <c r="P16" s="16"/>
    </row>
    <row r="17" spans="1:18" ht="15.75" thickBot="1" x14ac:dyDescent="0.5">
      <c r="A17" s="49"/>
      <c r="B17" s="49"/>
      <c r="C17" s="49"/>
      <c r="D17" s="49"/>
      <c r="E17" s="49"/>
      <c r="F17" s="49"/>
      <c r="G17" s="49"/>
      <c r="H17" s="49"/>
      <c r="I17" s="49"/>
      <c r="J17" s="49"/>
      <c r="K17" s="49"/>
      <c r="N17" s="35"/>
      <c r="O17" s="15"/>
      <c r="P17" s="16"/>
    </row>
    <row r="18" spans="1:18" ht="15.75" thickBot="1" x14ac:dyDescent="0.5">
      <c r="A18" s="49"/>
      <c r="B18" s="49"/>
      <c r="C18" s="49"/>
      <c r="D18" s="49"/>
      <c r="E18" s="49"/>
      <c r="F18" s="49"/>
      <c r="G18" s="49"/>
      <c r="H18" s="49"/>
      <c r="I18" s="49"/>
      <c r="J18" s="49"/>
      <c r="K18" s="49"/>
      <c r="N18" s="35"/>
      <c r="O18" s="15"/>
      <c r="P18" s="16"/>
    </row>
    <row r="19" spans="1:18" ht="15.75" thickBot="1" x14ac:dyDescent="0.5">
      <c r="A19" s="49"/>
      <c r="B19" s="49"/>
      <c r="C19" s="49"/>
      <c r="D19" s="49"/>
      <c r="E19" s="49"/>
      <c r="F19" s="49"/>
      <c r="G19" s="49"/>
      <c r="H19" s="49"/>
      <c r="I19" s="49"/>
      <c r="J19" s="49"/>
      <c r="K19" s="49"/>
      <c r="N19" s="35"/>
      <c r="O19" s="15"/>
      <c r="P19" s="16"/>
    </row>
    <row r="20" spans="1:18" ht="15.75" thickBot="1" x14ac:dyDescent="0.5">
      <c r="A20" s="49"/>
      <c r="B20" s="49"/>
      <c r="C20" s="49"/>
      <c r="D20" s="49"/>
      <c r="E20" s="49"/>
      <c r="F20" s="49"/>
      <c r="G20" s="49"/>
      <c r="H20" s="49"/>
      <c r="I20" s="49"/>
      <c r="J20" s="49"/>
      <c r="K20" s="49"/>
      <c r="N20" s="35"/>
      <c r="O20" s="15"/>
      <c r="P20" s="16"/>
    </row>
    <row r="21" spans="1:18" ht="15.75" thickBot="1" x14ac:dyDescent="0.5">
      <c r="A21" s="49"/>
      <c r="B21" s="49"/>
      <c r="C21" s="49"/>
      <c r="D21" s="49"/>
      <c r="E21" s="49"/>
      <c r="F21" s="49"/>
      <c r="G21" s="49"/>
      <c r="H21" s="49"/>
      <c r="I21" s="49"/>
      <c r="J21" s="49"/>
      <c r="K21" s="49"/>
      <c r="N21" s="35"/>
      <c r="O21" s="15"/>
      <c r="P21" s="16"/>
    </row>
    <row r="22" spans="1:18" ht="15.75" thickBot="1" x14ac:dyDescent="0.5">
      <c r="A22" s="49"/>
      <c r="B22" s="49"/>
      <c r="C22" s="49"/>
      <c r="D22" s="49"/>
      <c r="E22" s="49"/>
      <c r="F22" s="49"/>
      <c r="G22" s="49"/>
      <c r="H22" s="49"/>
      <c r="I22" s="49"/>
      <c r="J22" s="49"/>
      <c r="K22" s="49"/>
      <c r="N22" s="35"/>
      <c r="O22" s="15"/>
      <c r="P22" s="16"/>
    </row>
    <row r="23" spans="1:18" ht="15.75" thickBot="1" x14ac:dyDescent="0.5">
      <c r="A23" s="49"/>
      <c r="B23" s="49"/>
      <c r="C23" s="49"/>
      <c r="D23" s="49"/>
      <c r="E23" s="49"/>
      <c r="F23" s="49"/>
      <c r="G23" s="49"/>
      <c r="H23" s="49"/>
      <c r="I23" s="49"/>
      <c r="J23" s="49"/>
      <c r="K23" s="49"/>
      <c r="N23" s="35"/>
      <c r="O23" s="15"/>
      <c r="P23" s="16"/>
    </row>
    <row r="24" spans="1:18" ht="15.75" thickBot="1" x14ac:dyDescent="0.5">
      <c r="A24" s="49"/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4"/>
      <c r="N24" s="35"/>
      <c r="O24" s="15"/>
      <c r="P24" s="16"/>
    </row>
    <row r="25" spans="1:18" ht="15.75" thickBot="1" x14ac:dyDescent="0.5">
      <c r="A25" s="49" t="s">
        <v>41</v>
      </c>
      <c r="B25" s="49">
        <f>SUM(B8:B24)</f>
        <v>4</v>
      </c>
      <c r="C25" s="7"/>
      <c r="D25" s="49">
        <f>SUM(D8:D24)</f>
        <v>4</v>
      </c>
      <c r="E25" s="7"/>
      <c r="F25" s="49">
        <f>SUM(F8:F24)</f>
        <v>4</v>
      </c>
      <c r="G25" s="7"/>
      <c r="H25" s="49">
        <f>SUM(H8:H24)</f>
        <v>3</v>
      </c>
      <c r="I25" s="7"/>
      <c r="J25" s="49">
        <f>SUM(J8:J24)</f>
        <v>0</v>
      </c>
      <c r="K25" s="7"/>
    </row>
    <row r="27" spans="1:18" ht="15.75" thickBot="1" x14ac:dyDescent="0.5"/>
    <row r="28" spans="1:18" ht="16.149999999999999" thickTop="1" thickBot="1" x14ac:dyDescent="0.5">
      <c r="A28" s="55" t="s">
        <v>196</v>
      </c>
      <c r="B28" s="49" t="s">
        <v>247</v>
      </c>
      <c r="C28" s="45"/>
      <c r="D28" s="168"/>
      <c r="E28" s="166"/>
      <c r="F28" s="167" t="s">
        <v>212</v>
      </c>
      <c r="G28" s="53">
        <f>B25+D25+H25+J25</f>
        <v>11</v>
      </c>
      <c r="I28" s="55" t="s">
        <v>108</v>
      </c>
      <c r="J28" s="59">
        <f>Econ!G196</f>
        <v>137.5</v>
      </c>
    </row>
    <row r="29" spans="1:18" ht="16.149999999999999" thickTop="1" thickBot="1" x14ac:dyDescent="0.5">
      <c r="A29" s="49" t="s">
        <v>197</v>
      </c>
      <c r="B29" s="49" t="s">
        <v>10</v>
      </c>
    </row>
    <row r="30" spans="1:18" ht="15.75" thickBot="1" x14ac:dyDescent="0.5">
      <c r="A30" s="56" t="s">
        <v>198</v>
      </c>
      <c r="B30" s="57" t="s">
        <v>248</v>
      </c>
      <c r="E30" s="213" t="s">
        <v>199</v>
      </c>
      <c r="F30" s="213"/>
      <c r="G30" s="213"/>
      <c r="H30" s="213"/>
      <c r="I30" s="213"/>
      <c r="J30" s="213"/>
      <c r="K30" s="213"/>
    </row>
    <row r="31" spans="1:18" ht="15.75" thickBot="1" x14ac:dyDescent="0.5">
      <c r="A31" s="44"/>
      <c r="B31" s="44"/>
      <c r="C31" s="44"/>
      <c r="E31" s="213" t="s">
        <v>61</v>
      </c>
      <c r="F31" s="213"/>
      <c r="G31" s="213"/>
      <c r="H31" s="49" t="s">
        <v>117</v>
      </c>
      <c r="I31" s="213" t="s">
        <v>200</v>
      </c>
      <c r="J31" s="213"/>
      <c r="K31" s="213"/>
    </row>
    <row r="32" spans="1:18" ht="15.75" thickBot="1" x14ac:dyDescent="0.5">
      <c r="A32" s="44"/>
      <c r="B32" s="44"/>
      <c r="C32" s="44"/>
      <c r="E32" s="217"/>
      <c r="F32" s="218"/>
      <c r="G32" s="219"/>
      <c r="H32" s="174"/>
      <c r="I32" s="217"/>
      <c r="J32" s="218"/>
      <c r="K32" s="219"/>
      <c r="R32" s="44"/>
    </row>
    <row r="33" spans="1:16" ht="15.75" thickBot="1" x14ac:dyDescent="0.5">
      <c r="A33" s="44"/>
      <c r="E33" s="217"/>
      <c r="F33" s="218"/>
      <c r="G33" s="219"/>
      <c r="H33" s="174"/>
      <c r="I33" s="217"/>
      <c r="J33" s="218"/>
      <c r="K33" s="219"/>
    </row>
    <row r="34" spans="1:16" ht="16.149999999999999" thickTop="1" thickBot="1" x14ac:dyDescent="0.5">
      <c r="A34" s="55" t="s">
        <v>6</v>
      </c>
      <c r="B34" s="55" t="s">
        <v>164</v>
      </c>
      <c r="C34" s="20" t="s">
        <v>6</v>
      </c>
      <c r="E34" s="217"/>
      <c r="F34" s="218"/>
      <c r="G34" s="219"/>
      <c r="H34" s="174"/>
      <c r="I34" s="217"/>
      <c r="J34" s="218"/>
      <c r="K34" s="219"/>
    </row>
    <row r="35" spans="1:16" ht="16.149999999999999" thickTop="1" thickBot="1" x14ac:dyDescent="0.5">
      <c r="A35" s="55" t="s">
        <v>201</v>
      </c>
      <c r="B35" s="60">
        <f>(B25+H25+J25)*200000</f>
        <v>1400000</v>
      </c>
      <c r="E35" s="217"/>
      <c r="F35" s="218"/>
      <c r="G35" s="219"/>
      <c r="H35" s="174"/>
      <c r="I35" s="217"/>
      <c r="J35" s="218"/>
      <c r="K35" s="219"/>
    </row>
    <row r="36" spans="1:16" ht="16.149999999999999" thickTop="1" thickBot="1" x14ac:dyDescent="0.5">
      <c r="A36" s="55" t="s">
        <v>202</v>
      </c>
      <c r="B36" s="60">
        <f>D25*100000</f>
        <v>400000</v>
      </c>
      <c r="E36" s="20" t="s">
        <v>6</v>
      </c>
      <c r="F36" s="20" t="s">
        <v>6</v>
      </c>
      <c r="G36" s="49" t="s">
        <v>41</v>
      </c>
      <c r="H36" s="53">
        <f>SUM(H32:H35)</f>
        <v>0</v>
      </c>
    </row>
    <row r="37" spans="1:16" ht="16.149999999999999" thickTop="1" thickBot="1" x14ac:dyDescent="0.5">
      <c r="A37" s="55" t="s">
        <v>2</v>
      </c>
      <c r="B37" s="60">
        <f>SUM(B35:B36)</f>
        <v>1800000</v>
      </c>
    </row>
    <row r="38" spans="1:16" ht="16.149999999999999" thickTop="1" thickBot="1" x14ac:dyDescent="0.5"/>
    <row r="39" spans="1:16" ht="15.75" thickBot="1" x14ac:dyDescent="0.5">
      <c r="G39" s="213" t="s">
        <v>203</v>
      </c>
      <c r="H39" s="213"/>
      <c r="I39" s="213"/>
      <c r="J39" s="213"/>
    </row>
    <row r="40" spans="1:16" ht="15.75" thickBot="1" x14ac:dyDescent="0.5">
      <c r="G40" s="49" t="s">
        <v>58</v>
      </c>
      <c r="H40" s="49" t="s">
        <v>149</v>
      </c>
      <c r="I40" s="49" t="s">
        <v>150</v>
      </c>
      <c r="J40" s="49" t="s">
        <v>147</v>
      </c>
    </row>
    <row r="41" spans="1:16" ht="15.75" thickBot="1" x14ac:dyDescent="0.5">
      <c r="F41" s="46" t="s">
        <v>204</v>
      </c>
      <c r="G41" s="61">
        <v>4</v>
      </c>
      <c r="H41" s="61">
        <v>8</v>
      </c>
      <c r="I41" s="61">
        <v>16</v>
      </c>
      <c r="J41" s="61">
        <v>1</v>
      </c>
    </row>
    <row r="42" spans="1:16" ht="15.75" thickBot="1" x14ac:dyDescent="0.5">
      <c r="F42" s="46" t="s">
        <v>205</v>
      </c>
      <c r="G42" s="61">
        <v>8</v>
      </c>
      <c r="H42" s="61">
        <v>16</v>
      </c>
      <c r="I42" s="61">
        <v>32</v>
      </c>
      <c r="J42" s="61">
        <v>2</v>
      </c>
    </row>
    <row r="43" spans="1:16" ht="15.75" thickBot="1" x14ac:dyDescent="0.5">
      <c r="F43" s="46" t="s">
        <v>206</v>
      </c>
      <c r="G43" s="61">
        <v>16</v>
      </c>
      <c r="H43" s="61">
        <v>32</v>
      </c>
      <c r="I43" s="61">
        <v>48</v>
      </c>
      <c r="J43" s="61">
        <v>4</v>
      </c>
    </row>
    <row r="47" spans="1:16" ht="15.75" thickBot="1" x14ac:dyDescent="0.5">
      <c r="A47" s="83" t="s">
        <v>242</v>
      </c>
      <c r="B47" s="82"/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</row>
    <row r="48" spans="1:16" ht="16.149999999999999" thickTop="1" thickBot="1" x14ac:dyDescent="0.5">
      <c r="A48" s="241" t="s">
        <v>181</v>
      </c>
      <c r="B48" s="214" t="s">
        <v>207</v>
      </c>
      <c r="C48" s="214" t="s">
        <v>148</v>
      </c>
      <c r="D48" s="214" t="s">
        <v>208</v>
      </c>
      <c r="E48" s="214" t="s">
        <v>148</v>
      </c>
      <c r="F48" s="214" t="s">
        <v>209</v>
      </c>
      <c r="G48" s="214" t="s">
        <v>148</v>
      </c>
      <c r="H48" s="214" t="s">
        <v>210</v>
      </c>
      <c r="I48" s="214" t="s">
        <v>148</v>
      </c>
      <c r="J48" s="214" t="s">
        <v>174</v>
      </c>
      <c r="K48" s="214" t="s">
        <v>148</v>
      </c>
      <c r="L48" s="214" t="s">
        <v>176</v>
      </c>
    </row>
    <row r="49" spans="1:12" ht="16.149999999999999" thickTop="1" thickBot="1" x14ac:dyDescent="0.5">
      <c r="A49" s="242"/>
      <c r="B49" s="214"/>
      <c r="C49" s="214"/>
      <c r="D49" s="214"/>
      <c r="E49" s="214"/>
      <c r="F49" s="214"/>
      <c r="G49" s="214"/>
      <c r="H49" s="214"/>
      <c r="I49" s="214"/>
      <c r="J49" s="214"/>
      <c r="K49" s="214"/>
      <c r="L49" s="214"/>
    </row>
    <row r="50" spans="1:12" s="47" customFormat="1" ht="16.149999999999999" thickTop="1" thickBot="1" x14ac:dyDescent="0.5">
      <c r="A50" s="62" t="s">
        <v>246</v>
      </c>
      <c r="B50" s="63">
        <v>1</v>
      </c>
      <c r="C50" s="64" t="s">
        <v>23</v>
      </c>
      <c r="D50" s="63">
        <v>3</v>
      </c>
      <c r="E50" s="64" t="s">
        <v>23</v>
      </c>
      <c r="F50" s="67"/>
      <c r="G50" s="68"/>
      <c r="H50" s="63">
        <v>4</v>
      </c>
      <c r="I50" s="64" t="s">
        <v>22</v>
      </c>
      <c r="J50" s="63" t="s">
        <v>6</v>
      </c>
      <c r="K50" s="64" t="s">
        <v>6</v>
      </c>
      <c r="L50" s="62">
        <v>3</v>
      </c>
    </row>
    <row r="51" spans="1:12" ht="16.149999999999999" thickTop="1" thickBot="1" x14ac:dyDescent="0.5">
      <c r="A51" s="62" t="s">
        <v>246</v>
      </c>
      <c r="B51" s="65"/>
      <c r="C51" s="66"/>
      <c r="D51" s="65"/>
      <c r="E51" s="66"/>
      <c r="F51" s="65"/>
      <c r="G51" s="66"/>
      <c r="H51" s="65">
        <v>9</v>
      </c>
      <c r="I51" s="66" t="s">
        <v>23</v>
      </c>
      <c r="J51" s="65"/>
      <c r="K51" s="66"/>
      <c r="L51" s="55"/>
    </row>
    <row r="52" spans="1:12" ht="16.149999999999999" thickTop="1" thickBot="1" x14ac:dyDescent="0.5">
      <c r="A52" s="55" t="s">
        <v>263</v>
      </c>
      <c r="B52" s="65"/>
      <c r="C52" s="66"/>
      <c r="D52" s="65">
        <v>2</v>
      </c>
      <c r="E52" s="66" t="s">
        <v>23</v>
      </c>
      <c r="F52" s="65"/>
      <c r="G52" s="66"/>
      <c r="H52" s="65"/>
      <c r="I52" s="66"/>
      <c r="J52" s="65"/>
      <c r="K52" s="66"/>
      <c r="L52" s="55"/>
    </row>
    <row r="53" spans="1:12" ht="16.149999999999999" thickTop="1" thickBot="1" x14ac:dyDescent="0.5">
      <c r="A53" s="55"/>
      <c r="B53" s="65"/>
      <c r="C53" s="66"/>
      <c r="D53" s="65"/>
      <c r="E53" s="66"/>
      <c r="F53" s="65"/>
      <c r="G53" s="66"/>
      <c r="H53" s="65"/>
      <c r="I53" s="66"/>
      <c r="J53" s="65"/>
      <c r="K53" s="66"/>
      <c r="L53" s="55"/>
    </row>
    <row r="54" spans="1:12" ht="16.149999999999999" thickTop="1" thickBot="1" x14ac:dyDescent="0.5">
      <c r="A54" s="55"/>
      <c r="B54" s="65"/>
      <c r="C54" s="66"/>
      <c r="D54" s="65"/>
      <c r="E54" s="66"/>
      <c r="F54" s="65"/>
      <c r="G54" s="66"/>
      <c r="H54" s="65"/>
      <c r="I54" s="66"/>
      <c r="J54" s="65"/>
      <c r="K54" s="66"/>
      <c r="L54" s="55"/>
    </row>
    <row r="55" spans="1:12" ht="16.149999999999999" thickTop="1" thickBot="1" x14ac:dyDescent="0.5">
      <c r="A55" s="55"/>
      <c r="B55" s="65"/>
      <c r="C55" s="66"/>
      <c r="D55" s="65"/>
      <c r="E55" s="66"/>
      <c r="F55" s="65"/>
      <c r="G55" s="66"/>
      <c r="H55" s="65"/>
      <c r="I55" s="66"/>
      <c r="J55" s="65"/>
      <c r="K55" s="66"/>
      <c r="L55" s="55"/>
    </row>
    <row r="56" spans="1:12" ht="16.149999999999999" thickTop="1" thickBot="1" x14ac:dyDescent="0.5">
      <c r="A56" s="55"/>
      <c r="B56" s="65"/>
      <c r="C56" s="66"/>
      <c r="D56" s="65"/>
      <c r="E56" s="66"/>
      <c r="F56" s="65"/>
      <c r="G56" s="66"/>
      <c r="H56" s="65"/>
      <c r="I56" s="66"/>
      <c r="J56" s="65"/>
      <c r="K56" s="66"/>
      <c r="L56" s="55"/>
    </row>
    <row r="57" spans="1:12" s="47" customFormat="1" ht="16.149999999999999" thickTop="1" thickBot="1" x14ac:dyDescent="0.5">
      <c r="A57" s="62"/>
      <c r="B57" s="63"/>
      <c r="C57" s="64"/>
      <c r="D57" s="63"/>
      <c r="E57" s="64"/>
      <c r="F57" s="63"/>
      <c r="G57" s="64"/>
      <c r="H57" s="63"/>
      <c r="I57" s="64"/>
      <c r="J57" s="63"/>
      <c r="K57" s="64"/>
      <c r="L57" s="62"/>
    </row>
    <row r="58" spans="1:12" ht="16.149999999999999" thickTop="1" thickBot="1" x14ac:dyDescent="0.5">
      <c r="A58" s="55"/>
      <c r="B58" s="65"/>
      <c r="C58" s="66"/>
      <c r="D58" s="65"/>
      <c r="E58" s="66"/>
      <c r="F58" s="65"/>
      <c r="G58" s="66"/>
      <c r="H58" s="65"/>
      <c r="I58" s="66"/>
      <c r="J58" s="65"/>
      <c r="K58" s="66"/>
      <c r="L58" s="55"/>
    </row>
    <row r="59" spans="1:12" ht="16.149999999999999" thickTop="1" thickBot="1" x14ac:dyDescent="0.5">
      <c r="A59" s="55" t="s">
        <v>3</v>
      </c>
      <c r="B59" s="55">
        <f>SUM(B50:B58)</f>
        <v>1</v>
      </c>
      <c r="C59" s="35"/>
      <c r="D59" s="55">
        <f>SUM(D50:D58)</f>
        <v>5</v>
      </c>
      <c r="E59" s="35"/>
      <c r="F59" s="55">
        <f>SUM(F50:F58)</f>
        <v>0</v>
      </c>
      <c r="G59" s="35"/>
      <c r="H59" s="55">
        <f>SUM(H50:H58)</f>
        <v>13</v>
      </c>
      <c r="I59" s="35"/>
      <c r="J59" s="55">
        <f>SUM(J50:J58)</f>
        <v>0</v>
      </c>
      <c r="K59" s="35"/>
      <c r="L59" s="55">
        <f>SUM(L50:L58)</f>
        <v>3</v>
      </c>
    </row>
    <row r="60" spans="1:12" ht="15.75" thickTop="1" x14ac:dyDescent="0.45"/>
    <row r="62" spans="1:12" ht="15.75" thickBot="1" x14ac:dyDescent="0.5"/>
    <row r="63" spans="1:12" ht="16.149999999999999" thickTop="1" thickBot="1" x14ac:dyDescent="0.5">
      <c r="A63" s="55" t="s">
        <v>196</v>
      </c>
      <c r="B63" s="49" t="s">
        <v>247</v>
      </c>
      <c r="E63" s="49"/>
      <c r="F63" s="58" t="s">
        <v>211</v>
      </c>
      <c r="G63" s="53">
        <f>B64*0.5</f>
        <v>16.5</v>
      </c>
    </row>
    <row r="64" spans="1:12" ht="16.149999999999999" thickTop="1" thickBot="1" x14ac:dyDescent="0.5">
      <c r="A64" s="55" t="s">
        <v>213</v>
      </c>
      <c r="B64" s="55">
        <f>(B59*4)+(D59*2)+(F59*2)+(H59*1)+(J59*1)+(L59*2)</f>
        <v>33</v>
      </c>
    </row>
    <row r="65" spans="1:16" ht="16.149999999999999" thickTop="1" thickBot="1" x14ac:dyDescent="0.5">
      <c r="A65" s="55" t="s">
        <v>214</v>
      </c>
      <c r="B65" s="59">
        <f>ROUNDUP((B64/20)*5,0)</f>
        <v>9</v>
      </c>
      <c r="E65" s="213" t="s">
        <v>215</v>
      </c>
      <c r="F65" s="213"/>
      <c r="G65" s="213"/>
      <c r="H65" s="213"/>
      <c r="I65" s="213"/>
      <c r="J65" s="213"/>
      <c r="K65" s="213"/>
    </row>
    <row r="66" spans="1:16" ht="16.149999999999999" thickTop="1" thickBot="1" x14ac:dyDescent="0.5">
      <c r="A66" s="55" t="s">
        <v>164</v>
      </c>
      <c r="B66" s="55">
        <f>ROUNDUP((B64/20)*0.1,2)</f>
        <v>0.17</v>
      </c>
      <c r="C66" s="20" t="s">
        <v>55</v>
      </c>
      <c r="E66" s="213" t="s">
        <v>216</v>
      </c>
      <c r="F66" s="213"/>
      <c r="G66" s="213"/>
      <c r="H66" s="49" t="s">
        <v>117</v>
      </c>
      <c r="I66" s="213" t="s">
        <v>200</v>
      </c>
      <c r="J66" s="213"/>
      <c r="K66" s="213"/>
    </row>
    <row r="67" spans="1:16" ht="15" customHeight="1" thickTop="1" thickBot="1" x14ac:dyDescent="0.5">
      <c r="E67" s="217"/>
      <c r="F67" s="218"/>
      <c r="G67" s="219"/>
      <c r="H67" s="174"/>
      <c r="I67" s="217"/>
      <c r="J67" s="218"/>
      <c r="K67" s="219"/>
    </row>
    <row r="68" spans="1:16" ht="15" customHeight="1" thickBot="1" x14ac:dyDescent="0.5">
      <c r="E68" s="217"/>
      <c r="F68" s="218"/>
      <c r="G68" s="219"/>
      <c r="H68" s="174"/>
      <c r="I68" s="217"/>
      <c r="J68" s="218"/>
      <c r="K68" s="219"/>
    </row>
    <row r="69" spans="1:16" ht="15" customHeight="1" thickBot="1" x14ac:dyDescent="0.5">
      <c r="E69" s="217"/>
      <c r="F69" s="218"/>
      <c r="G69" s="219"/>
      <c r="H69" s="174"/>
      <c r="I69" s="217"/>
      <c r="J69" s="218"/>
      <c r="K69" s="219"/>
    </row>
    <row r="70" spans="1:16" ht="15.75" thickBot="1" x14ac:dyDescent="0.5">
      <c r="E70" s="217"/>
      <c r="F70" s="218"/>
      <c r="G70" s="219"/>
      <c r="H70" s="174"/>
      <c r="I70" s="217"/>
      <c r="J70" s="218"/>
      <c r="K70" s="219"/>
    </row>
    <row r="71" spans="1:16" ht="15.75" thickBot="1" x14ac:dyDescent="0.5">
      <c r="E71" s="20" t="s">
        <v>6</v>
      </c>
      <c r="F71" s="20" t="s">
        <v>6</v>
      </c>
      <c r="G71" s="49" t="s">
        <v>41</v>
      </c>
      <c r="H71" s="49">
        <f>SUM(H67:H70)</f>
        <v>0</v>
      </c>
    </row>
    <row r="72" spans="1:16" ht="15.75" thickBot="1" x14ac:dyDescent="0.5">
      <c r="G72" s="49" t="s">
        <v>108</v>
      </c>
      <c r="H72" s="61">
        <f>J28-H36-H71</f>
        <v>137.5</v>
      </c>
      <c r="I72" s="48"/>
    </row>
    <row r="75" spans="1:16" ht="15.75" thickBot="1" x14ac:dyDescent="0.5">
      <c r="A75" s="84" t="s">
        <v>243</v>
      </c>
    </row>
    <row r="76" spans="1:16" ht="15.75" thickBot="1" x14ac:dyDescent="0.5">
      <c r="A76" s="49" t="s">
        <v>217</v>
      </c>
      <c r="B76" s="49" t="s">
        <v>169</v>
      </c>
      <c r="C76" s="49" t="s">
        <v>117</v>
      </c>
      <c r="D76" s="232" t="s">
        <v>181</v>
      </c>
      <c r="E76" s="232"/>
      <c r="F76" s="232"/>
      <c r="G76" s="232"/>
      <c r="H76" s="232"/>
      <c r="I76" s="232"/>
      <c r="J76" s="232"/>
      <c r="K76" s="232"/>
      <c r="L76" s="232"/>
      <c r="M76" s="232"/>
      <c r="N76" s="232"/>
      <c r="O76" s="232"/>
      <c r="P76" s="232"/>
    </row>
    <row r="77" spans="1:16" ht="15.75" thickBot="1" x14ac:dyDescent="0.5">
      <c r="A77" s="49" t="s">
        <v>222</v>
      </c>
      <c r="B77" s="49">
        <v>2</v>
      </c>
      <c r="C77" s="69"/>
      <c r="D77" s="233" t="s">
        <v>255</v>
      </c>
      <c r="E77" s="234"/>
      <c r="F77" s="234"/>
      <c r="G77" s="234"/>
      <c r="H77" s="234"/>
      <c r="I77" s="234"/>
      <c r="J77" s="234"/>
      <c r="K77" s="234"/>
      <c r="L77" s="234"/>
      <c r="M77" s="234"/>
      <c r="N77" s="234"/>
      <c r="O77" s="234"/>
      <c r="P77" s="235"/>
    </row>
    <row r="78" spans="1:16" ht="15.75" thickBot="1" x14ac:dyDescent="0.5">
      <c r="A78" s="49" t="s">
        <v>218</v>
      </c>
      <c r="B78" s="49">
        <v>2</v>
      </c>
      <c r="C78" s="70">
        <f>B78</f>
        <v>2</v>
      </c>
      <c r="D78" s="236" t="s">
        <v>259</v>
      </c>
      <c r="E78" s="237"/>
      <c r="F78" s="237"/>
      <c r="G78" s="237"/>
      <c r="H78" s="237"/>
      <c r="I78" s="237"/>
      <c r="J78" s="237"/>
      <c r="K78" s="237"/>
      <c r="L78" s="237"/>
      <c r="M78" s="237"/>
      <c r="N78" s="237"/>
      <c r="O78" s="237"/>
      <c r="P78" s="238"/>
    </row>
    <row r="79" spans="1:16" x14ac:dyDescent="0.45">
      <c r="A79" s="35"/>
      <c r="B79" s="35"/>
      <c r="C79" s="15"/>
      <c r="D79" s="236"/>
      <c r="E79" s="250"/>
      <c r="F79" s="250"/>
      <c r="G79" s="250"/>
      <c r="H79" s="250"/>
      <c r="I79" s="250"/>
      <c r="J79" s="250"/>
      <c r="K79" s="250"/>
      <c r="L79" s="250"/>
      <c r="M79" s="250"/>
      <c r="N79" s="250"/>
      <c r="O79" s="250"/>
      <c r="P79" s="251"/>
    </row>
    <row r="80" spans="1:16" x14ac:dyDescent="0.45">
      <c r="A80" s="35"/>
      <c r="B80" s="35"/>
      <c r="C80" s="15"/>
      <c r="D80" s="236"/>
      <c r="E80" s="250"/>
      <c r="F80" s="250"/>
      <c r="G80" s="250"/>
      <c r="H80" s="250"/>
      <c r="I80" s="250"/>
      <c r="J80" s="250"/>
      <c r="K80" s="250"/>
      <c r="L80" s="250"/>
      <c r="M80" s="250"/>
      <c r="N80" s="250"/>
      <c r="O80" s="250"/>
      <c r="P80" s="251"/>
    </row>
    <row r="81" spans="1:16" x14ac:dyDescent="0.45">
      <c r="A81" s="35"/>
      <c r="B81" s="35"/>
      <c r="C81" s="15"/>
      <c r="D81" s="236"/>
      <c r="E81" s="250"/>
      <c r="F81" s="250"/>
      <c r="G81" s="250"/>
      <c r="H81" s="250"/>
      <c r="I81" s="250"/>
      <c r="J81" s="250"/>
      <c r="K81" s="250"/>
      <c r="L81" s="250"/>
      <c r="M81" s="250"/>
      <c r="N81" s="250"/>
      <c r="O81" s="250"/>
      <c r="P81" s="251"/>
    </row>
    <row r="82" spans="1:16" ht="29.25" customHeight="1" x14ac:dyDescent="0.45">
      <c r="A82" s="35"/>
      <c r="B82" s="35"/>
      <c r="C82" s="15"/>
      <c r="D82" s="252"/>
      <c r="E82" s="253"/>
      <c r="F82" s="253"/>
      <c r="G82" s="253"/>
      <c r="H82" s="253"/>
      <c r="I82" s="253"/>
      <c r="J82" s="253"/>
      <c r="K82" s="253"/>
      <c r="L82" s="253"/>
      <c r="M82" s="253"/>
      <c r="N82" s="253"/>
      <c r="O82" s="253"/>
      <c r="P82" s="254"/>
    </row>
    <row r="83" spans="1:16" ht="15.75" thickBot="1" x14ac:dyDescent="0.5">
      <c r="A83" s="35"/>
      <c r="B83" s="35"/>
      <c r="C83" s="15"/>
      <c r="D83" s="247"/>
      <c r="E83" s="248"/>
      <c r="F83" s="248"/>
      <c r="G83" s="248"/>
      <c r="H83" s="248"/>
      <c r="I83" s="248"/>
      <c r="J83" s="248"/>
      <c r="K83" s="248"/>
      <c r="L83" s="248"/>
      <c r="M83" s="248"/>
      <c r="N83" s="248"/>
      <c r="O83" s="248"/>
      <c r="P83" s="249"/>
    </row>
    <row r="84" spans="1:16" x14ac:dyDescent="0.45">
      <c r="A84" s="35"/>
      <c r="B84" s="35"/>
      <c r="C84" s="15"/>
      <c r="D84" s="18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</row>
    <row r="85" spans="1:16" ht="15.75" thickBot="1" x14ac:dyDescent="0.5">
      <c r="A85" s="35"/>
      <c r="B85" s="35"/>
      <c r="C85" s="15"/>
      <c r="D85" s="18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</row>
    <row r="86" spans="1:16" ht="15.75" thickBot="1" x14ac:dyDescent="0.5">
      <c r="A86" s="49" t="s">
        <v>219</v>
      </c>
      <c r="B86" s="49" t="s">
        <v>169</v>
      </c>
      <c r="C86" s="49" t="s">
        <v>117</v>
      </c>
      <c r="D86" s="213" t="s">
        <v>181</v>
      </c>
      <c r="E86" s="213"/>
      <c r="F86" s="213"/>
      <c r="G86" s="213"/>
      <c r="H86" s="213"/>
      <c r="I86" s="213"/>
      <c r="J86" s="213"/>
      <c r="K86" s="213"/>
      <c r="L86" s="213"/>
      <c r="M86" s="213"/>
      <c r="N86" s="213"/>
      <c r="O86" s="213"/>
      <c r="P86" s="213"/>
    </row>
    <row r="87" spans="1:16" ht="15.75" thickBot="1" x14ac:dyDescent="0.5">
      <c r="A87" s="57" t="s">
        <v>222</v>
      </c>
      <c r="B87" s="57">
        <v>8</v>
      </c>
      <c r="C87" s="69"/>
      <c r="D87" s="243" t="s">
        <v>256</v>
      </c>
      <c r="E87" s="244"/>
      <c r="F87" s="244"/>
      <c r="G87" s="244"/>
      <c r="H87" s="244"/>
      <c r="I87" s="244"/>
      <c r="J87" s="244"/>
      <c r="K87" s="244"/>
      <c r="L87" s="244"/>
      <c r="M87" s="244"/>
      <c r="N87" s="244"/>
      <c r="O87" s="244"/>
      <c r="P87" s="245"/>
    </row>
    <row r="88" spans="1:16" ht="15.75" thickBot="1" x14ac:dyDescent="0.5">
      <c r="A88" s="165" t="s">
        <v>218</v>
      </c>
      <c r="B88" s="165"/>
      <c r="C88" s="164">
        <f>B88</f>
        <v>0</v>
      </c>
      <c r="D88" s="169"/>
      <c r="E88" s="170"/>
      <c r="F88" s="170"/>
      <c r="G88" s="170"/>
      <c r="H88" s="170"/>
      <c r="I88" s="170"/>
      <c r="J88" s="170"/>
      <c r="K88" s="170"/>
      <c r="L88" s="170"/>
      <c r="M88" s="170"/>
      <c r="N88" s="170"/>
      <c r="O88" s="170"/>
      <c r="P88" s="171"/>
    </row>
    <row r="89" spans="1:16" ht="15.75" thickBot="1" x14ac:dyDescent="0.5"/>
    <row r="90" spans="1:16" ht="15.75" thickBot="1" x14ac:dyDescent="0.5">
      <c r="A90" s="49" t="s">
        <v>220</v>
      </c>
      <c r="B90" s="49" t="s">
        <v>169</v>
      </c>
      <c r="C90" s="49" t="s">
        <v>117</v>
      </c>
      <c r="D90" s="213" t="s">
        <v>181</v>
      </c>
      <c r="E90" s="213"/>
      <c r="F90" s="213"/>
      <c r="G90" s="213"/>
      <c r="H90" s="213"/>
      <c r="I90" s="213"/>
      <c r="J90" s="213"/>
      <c r="K90" s="213"/>
      <c r="L90" s="213"/>
      <c r="M90" s="213"/>
      <c r="N90" s="213"/>
      <c r="O90" s="213"/>
      <c r="P90" s="213"/>
    </row>
    <row r="91" spans="1:16" ht="15.75" customHeight="1" thickBot="1" x14ac:dyDescent="0.5">
      <c r="A91" s="49"/>
      <c r="B91" s="49">
        <v>2</v>
      </c>
      <c r="C91" s="70">
        <f>B91*2</f>
        <v>4</v>
      </c>
      <c r="D91" s="220" t="s">
        <v>249</v>
      </c>
      <c r="E91" s="221"/>
      <c r="F91" s="221"/>
      <c r="G91" s="221"/>
      <c r="H91" s="221"/>
      <c r="I91" s="221"/>
      <c r="J91" s="221"/>
      <c r="K91" s="221"/>
      <c r="L91" s="221"/>
      <c r="M91" s="221"/>
      <c r="N91" s="221"/>
      <c r="O91" s="221"/>
      <c r="P91" s="222"/>
    </row>
    <row r="92" spans="1:16" ht="35.25" customHeight="1" thickBot="1" x14ac:dyDescent="0.5">
      <c r="D92" s="223"/>
      <c r="E92" s="224"/>
      <c r="F92" s="224"/>
      <c r="G92" s="224"/>
      <c r="H92" s="224"/>
      <c r="I92" s="224"/>
      <c r="J92" s="224"/>
      <c r="K92" s="224"/>
      <c r="L92" s="224"/>
      <c r="M92" s="224"/>
      <c r="N92" s="224"/>
      <c r="O92" s="224"/>
      <c r="P92" s="225"/>
    </row>
    <row r="93" spans="1:16" ht="15.75" thickBot="1" x14ac:dyDescent="0.5">
      <c r="A93" s="20" t="s">
        <v>6</v>
      </c>
    </row>
    <row r="94" spans="1:16" ht="15.75" thickBot="1" x14ac:dyDescent="0.5">
      <c r="A94" s="49" t="s">
        <v>221</v>
      </c>
      <c r="B94" s="49" t="s">
        <v>169</v>
      </c>
      <c r="C94" s="49" t="s">
        <v>117</v>
      </c>
      <c r="D94" s="213" t="s">
        <v>181</v>
      </c>
      <c r="E94" s="213"/>
      <c r="F94" s="213"/>
      <c r="G94" s="213"/>
      <c r="H94" s="213"/>
      <c r="I94" s="213"/>
      <c r="J94" s="213"/>
      <c r="K94" s="213"/>
      <c r="L94" s="213"/>
      <c r="M94" s="213"/>
      <c r="N94" s="213"/>
      <c r="O94" s="213"/>
      <c r="P94" s="213"/>
    </row>
    <row r="95" spans="1:16" ht="15.75" thickBot="1" x14ac:dyDescent="0.5">
      <c r="A95" s="49"/>
      <c r="B95" s="49"/>
      <c r="C95" s="70">
        <f>B95*4</f>
        <v>0</v>
      </c>
      <c r="D95" s="226"/>
      <c r="E95" s="227"/>
      <c r="F95" s="227"/>
      <c r="G95" s="227"/>
      <c r="H95" s="227"/>
      <c r="I95" s="227"/>
      <c r="J95" s="227"/>
      <c r="K95" s="227"/>
      <c r="L95" s="227"/>
      <c r="M95" s="227"/>
      <c r="N95" s="227"/>
      <c r="O95" s="227"/>
      <c r="P95" s="228"/>
    </row>
    <row r="96" spans="1:16" ht="15.75" thickBot="1" x14ac:dyDescent="0.5">
      <c r="D96" s="229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1"/>
    </row>
    <row r="99" spans="1:17" x14ac:dyDescent="0.45">
      <c r="A99" s="168" t="s">
        <v>3</v>
      </c>
      <c r="B99" s="172">
        <f>C78+C88+C91+C95</f>
        <v>6</v>
      </c>
    </row>
    <row r="100" spans="1:17" x14ac:dyDescent="0.45">
      <c r="A100" s="35"/>
      <c r="B100" s="35"/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35"/>
      <c r="N100" s="35"/>
      <c r="O100" s="35"/>
      <c r="P100" s="35"/>
      <c r="Q100" s="35"/>
    </row>
    <row r="101" spans="1:17" ht="15.75" thickBot="1" x14ac:dyDescent="0.5">
      <c r="A101" s="35"/>
      <c r="B101" s="35"/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Q101" s="35"/>
    </row>
    <row r="102" spans="1:17" ht="15.75" thickBot="1" x14ac:dyDescent="0.5">
      <c r="C102" s="153" t="s">
        <v>57</v>
      </c>
      <c r="D102" s="61">
        <f>H72</f>
        <v>137.5</v>
      </c>
    </row>
  </sheetData>
  <sheetProtection algorithmName="SHA-512" hashValue="OMUWCseclEPoLoc+eJLTSkk6eb2LZ2iWKW45DrrkC+eu7gzMZYSqtCXyRymi6dCJwIAhwHJ+ZsMlCCaRgAjQ/w==" saltValue="mho28W3Nhxh24uWzS+5sMw==" spinCount="100000" sheet="1" objects="1" scenarios="1"/>
  <mergeCells count="61">
    <mergeCell ref="D87:P87"/>
    <mergeCell ref="A2:T2"/>
    <mergeCell ref="D86:P86"/>
    <mergeCell ref="D83:P83"/>
    <mergeCell ref="D79:P79"/>
    <mergeCell ref="D80:P80"/>
    <mergeCell ref="D81:P81"/>
    <mergeCell ref="D82:P82"/>
    <mergeCell ref="E69:G69"/>
    <mergeCell ref="E70:G70"/>
    <mergeCell ref="I32:K32"/>
    <mergeCell ref="I33:K33"/>
    <mergeCell ref="I34:K34"/>
    <mergeCell ref="I69:K69"/>
    <mergeCell ref="I70:K70"/>
    <mergeCell ref="E35:G35"/>
    <mergeCell ref="A48:A49"/>
    <mergeCell ref="G48:G49"/>
    <mergeCell ref="H48:H49"/>
    <mergeCell ref="K48:K49"/>
    <mergeCell ref="B48:B49"/>
    <mergeCell ref="C48:C49"/>
    <mergeCell ref="I66:K66"/>
    <mergeCell ref="I67:K67"/>
    <mergeCell ref="I68:K68"/>
    <mergeCell ref="E65:K65"/>
    <mergeCell ref="E68:G68"/>
    <mergeCell ref="E66:G66"/>
    <mergeCell ref="E67:G67"/>
    <mergeCell ref="D91:P92"/>
    <mergeCell ref="D94:P94"/>
    <mergeCell ref="D95:P96"/>
    <mergeCell ref="N6:P6"/>
    <mergeCell ref="D76:P76"/>
    <mergeCell ref="D77:P77"/>
    <mergeCell ref="D78:P78"/>
    <mergeCell ref="D90:P90"/>
    <mergeCell ref="D48:D49"/>
    <mergeCell ref="E48:E49"/>
    <mergeCell ref="F48:F49"/>
    <mergeCell ref="G39:J39"/>
    <mergeCell ref="L48:L49"/>
    <mergeCell ref="K6:K7"/>
    <mergeCell ref="I31:K31"/>
    <mergeCell ref="E30:K30"/>
    <mergeCell ref="E31:G31"/>
    <mergeCell ref="J48:J49"/>
    <mergeCell ref="I48:I49"/>
    <mergeCell ref="B6:B7"/>
    <mergeCell ref="D6:D7"/>
    <mergeCell ref="F6:F7"/>
    <mergeCell ref="H6:H7"/>
    <mergeCell ref="J6:J7"/>
    <mergeCell ref="C6:C7"/>
    <mergeCell ref="E6:E7"/>
    <mergeCell ref="G6:G7"/>
    <mergeCell ref="I6:I7"/>
    <mergeCell ref="E32:G32"/>
    <mergeCell ref="E33:G33"/>
    <mergeCell ref="E34:G34"/>
    <mergeCell ref="I35:K35"/>
  </mergeCells>
  <dataValidations count="2">
    <dataValidation type="list" showInputMessage="1" showErrorMessage="1" sqref="C9:C11 C13:C24 I9:I24 G9:G24 E8:E24 K8:K24" xr:uid="{00000000-0002-0000-0100-000000000000}">
      <formula1>Weapon_Quality</formula1>
    </dataValidation>
    <dataValidation type="list" showInputMessage="1" showErrorMessage="1" sqref="B29" xr:uid="{00000000-0002-0000-0100-000001000000}">
      <formula1>Yes_No</formula1>
    </dataValidation>
  </dataValidations>
  <pageMargins left="0.7" right="0.7" top="0.75" bottom="0.75" header="0.3" footer="0.3"/>
  <pageSetup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161"/>
  <sheetViews>
    <sheetView showGridLines="0" workbookViewId="0">
      <selection activeCell="B16" sqref="B16"/>
    </sheetView>
  </sheetViews>
  <sheetFormatPr defaultColWidth="9.1328125" defaultRowHeight="17.649999999999999" x14ac:dyDescent="0.5"/>
  <cols>
    <col min="1" max="1" width="3.9296875" style="31" customWidth="1"/>
    <col min="2" max="2" width="32.06640625" style="31" customWidth="1"/>
    <col min="3" max="3" width="14.59765625" style="31" bestFit="1" customWidth="1"/>
    <col min="4" max="5" width="9.1328125" style="31"/>
    <col min="6" max="6" width="10.6640625" style="31" customWidth="1"/>
    <col min="7" max="7" width="9" style="31" customWidth="1"/>
    <col min="8" max="16384" width="9.1328125" style="31"/>
  </cols>
  <sheetData>
    <row r="1" spans="1:16" s="17" customFormat="1" x14ac:dyDescent="0.5">
      <c r="A1" s="33"/>
      <c r="B1" s="256" t="s">
        <v>244</v>
      </c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  <c r="P1" s="256"/>
    </row>
    <row r="2" spans="1:16" s="11" customFormat="1" x14ac:dyDescent="0.5"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</row>
    <row r="3" spans="1:16" s="11" customFormat="1" x14ac:dyDescent="0.5">
      <c r="B3" s="23" t="s">
        <v>107</v>
      </c>
      <c r="C3" s="23"/>
      <c r="D3" s="24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</row>
    <row r="4" spans="1:16" s="11" customFormat="1" ht="18" thickBot="1" x14ac:dyDescent="0.55000000000000004">
      <c r="B4" s="23"/>
      <c r="C4" s="23"/>
      <c r="D4" s="24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</row>
    <row r="5" spans="1:16" s="11" customFormat="1" ht="18" thickBot="1" x14ac:dyDescent="0.55000000000000004">
      <c r="B5" s="258"/>
      <c r="C5" s="259" t="s">
        <v>224</v>
      </c>
      <c r="D5" s="260"/>
      <c r="E5" s="260"/>
      <c r="F5" s="260"/>
      <c r="G5" s="260"/>
      <c r="H5" s="260"/>
      <c r="I5" s="261"/>
      <c r="J5" s="17"/>
      <c r="K5" s="257" t="s">
        <v>225</v>
      </c>
      <c r="L5" s="257"/>
      <c r="M5" s="257"/>
      <c r="N5" s="257"/>
      <c r="O5" s="257"/>
      <c r="P5" s="257"/>
    </row>
    <row r="6" spans="1:16" s="11" customFormat="1" ht="18" thickBot="1" x14ac:dyDescent="0.55000000000000004">
      <c r="B6" s="258"/>
      <c r="C6" s="40" t="s">
        <v>134</v>
      </c>
      <c r="D6" s="40" t="s">
        <v>91</v>
      </c>
      <c r="E6" s="40" t="s">
        <v>92</v>
      </c>
      <c r="F6" s="40" t="s">
        <v>99</v>
      </c>
      <c r="G6" s="40" t="s">
        <v>93</v>
      </c>
      <c r="H6" s="40" t="s">
        <v>95</v>
      </c>
      <c r="I6" s="40" t="s">
        <v>96</v>
      </c>
      <c r="J6" s="17"/>
      <c r="K6" s="40" t="s">
        <v>91</v>
      </c>
      <c r="L6" s="40" t="s">
        <v>92</v>
      </c>
      <c r="M6" s="40" t="s">
        <v>99</v>
      </c>
      <c r="N6" s="40" t="s">
        <v>93</v>
      </c>
      <c r="O6" s="40" t="s">
        <v>95</v>
      </c>
      <c r="P6" s="40" t="s">
        <v>96</v>
      </c>
    </row>
    <row r="7" spans="1:16" s="11" customFormat="1" ht="18" thickBot="1" x14ac:dyDescent="0.55000000000000004">
      <c r="B7" s="21"/>
      <c r="C7" s="43">
        <f>SUM(C11:C30)</f>
        <v>17</v>
      </c>
      <c r="D7" s="41">
        <f t="shared" ref="D7:P7" si="0">SUM(D11:D30)</f>
        <v>0</v>
      </c>
      <c r="E7" s="41">
        <f t="shared" si="0"/>
        <v>0</v>
      </c>
      <c r="F7" s="41">
        <f t="shared" si="0"/>
        <v>0</v>
      </c>
      <c r="G7" s="41">
        <f t="shared" si="0"/>
        <v>0</v>
      </c>
      <c r="H7" s="41">
        <f t="shared" si="0"/>
        <v>0</v>
      </c>
      <c r="I7" s="41">
        <f t="shared" si="0"/>
        <v>0</v>
      </c>
      <c r="J7" s="10"/>
      <c r="K7" s="41">
        <f t="shared" si="0"/>
        <v>1</v>
      </c>
      <c r="L7" s="41">
        <f t="shared" si="0"/>
        <v>0</v>
      </c>
      <c r="M7" s="41">
        <f t="shared" si="0"/>
        <v>0</v>
      </c>
      <c r="N7" s="41">
        <f t="shared" si="0"/>
        <v>0</v>
      </c>
      <c r="O7" s="41">
        <f t="shared" si="0"/>
        <v>0</v>
      </c>
      <c r="P7" s="41">
        <f t="shared" si="0"/>
        <v>0</v>
      </c>
    </row>
    <row r="8" spans="1:16" s="17" customFormat="1" ht="18" thickBot="1" x14ac:dyDescent="0.55000000000000004">
      <c r="A8" s="33"/>
      <c r="B8" s="3"/>
      <c r="C8" s="22"/>
      <c r="D8" s="22"/>
      <c r="E8" s="22"/>
      <c r="F8" s="22"/>
      <c r="G8" s="22"/>
      <c r="H8" s="22"/>
      <c r="I8" s="22"/>
      <c r="J8" s="3"/>
      <c r="K8" s="22"/>
      <c r="L8" s="22"/>
      <c r="M8" s="22"/>
      <c r="N8" s="22"/>
      <c r="O8" s="22"/>
      <c r="P8" s="22"/>
    </row>
    <row r="9" spans="1:16" s="17" customFormat="1" ht="18.399999999999999" thickTop="1" thickBot="1" x14ac:dyDescent="0.55000000000000004">
      <c r="A9" s="33"/>
      <c r="C9" s="257" t="s">
        <v>226</v>
      </c>
      <c r="D9" s="257"/>
      <c r="E9" s="257"/>
      <c r="F9" s="257"/>
      <c r="G9" s="257"/>
      <c r="H9" s="257"/>
      <c r="I9" s="40"/>
      <c r="K9" s="257" t="s">
        <v>227</v>
      </c>
      <c r="L9" s="257"/>
      <c r="M9" s="257"/>
      <c r="N9" s="257"/>
      <c r="O9" s="257"/>
      <c r="P9" s="257"/>
    </row>
    <row r="10" spans="1:16" s="17" customFormat="1" ht="18" thickBot="1" x14ac:dyDescent="0.55000000000000004">
      <c r="A10" s="33"/>
      <c r="C10" s="40" t="s">
        <v>134</v>
      </c>
      <c r="D10" s="176" t="s">
        <v>91</v>
      </c>
      <c r="E10" s="176" t="s">
        <v>92</v>
      </c>
      <c r="F10" s="176" t="s">
        <v>99</v>
      </c>
      <c r="G10" s="176" t="s">
        <v>93</v>
      </c>
      <c r="H10" s="176" t="s">
        <v>95</v>
      </c>
      <c r="I10" s="176" t="s">
        <v>96</v>
      </c>
      <c r="K10" s="176" t="s">
        <v>91</v>
      </c>
      <c r="L10" s="176" t="s">
        <v>92</v>
      </c>
      <c r="M10" s="176" t="s">
        <v>99</v>
      </c>
      <c r="N10" s="176" t="s">
        <v>93</v>
      </c>
      <c r="O10" s="176" t="s">
        <v>95</v>
      </c>
      <c r="P10" s="176" t="s">
        <v>96</v>
      </c>
    </row>
    <row r="11" spans="1:16" s="17" customFormat="1" ht="18" thickBot="1" x14ac:dyDescent="0.55000000000000004">
      <c r="A11" s="33"/>
      <c r="B11" s="17" t="s">
        <v>253</v>
      </c>
      <c r="C11" s="71">
        <v>15</v>
      </c>
      <c r="D11" s="40">
        <v>0</v>
      </c>
      <c r="E11" s="40">
        <v>0</v>
      </c>
      <c r="F11" s="40">
        <v>0</v>
      </c>
      <c r="G11" s="40">
        <v>0</v>
      </c>
      <c r="H11" s="40">
        <v>0</v>
      </c>
      <c r="I11" s="40">
        <v>0</v>
      </c>
      <c r="J11" s="17" t="s">
        <v>6</v>
      </c>
      <c r="K11" s="40">
        <v>0</v>
      </c>
      <c r="L11" s="40">
        <v>0</v>
      </c>
      <c r="M11" s="40">
        <v>0</v>
      </c>
      <c r="N11" s="40">
        <v>0</v>
      </c>
      <c r="O11" s="40">
        <v>0</v>
      </c>
      <c r="P11" s="40">
        <v>0</v>
      </c>
    </row>
    <row r="12" spans="1:16" s="17" customFormat="1" ht="18" thickBot="1" x14ac:dyDescent="0.55000000000000004">
      <c r="A12" s="33"/>
      <c r="B12" s="17" t="s">
        <v>260</v>
      </c>
      <c r="C12" s="71">
        <v>2</v>
      </c>
      <c r="D12" s="40"/>
      <c r="E12" s="40"/>
      <c r="F12" s="40"/>
      <c r="G12" s="40"/>
      <c r="H12" s="40"/>
      <c r="I12" s="40"/>
      <c r="J12" s="30" t="s">
        <v>6</v>
      </c>
      <c r="K12" s="40"/>
      <c r="L12" s="40"/>
      <c r="M12" s="40"/>
      <c r="N12" s="40"/>
      <c r="O12" s="40"/>
      <c r="P12" s="40"/>
    </row>
    <row r="13" spans="1:16" s="30" customFormat="1" ht="18" thickBot="1" x14ac:dyDescent="0.55000000000000004">
      <c r="A13" s="33"/>
      <c r="B13" s="30" t="s">
        <v>265</v>
      </c>
      <c r="C13" s="71">
        <v>0</v>
      </c>
      <c r="D13" s="40">
        <v>0</v>
      </c>
      <c r="E13" s="40">
        <v>0</v>
      </c>
      <c r="F13" s="40">
        <v>0</v>
      </c>
      <c r="G13" s="40">
        <v>0</v>
      </c>
      <c r="H13" s="40">
        <v>0</v>
      </c>
      <c r="I13" s="40">
        <v>0</v>
      </c>
      <c r="J13" s="33" t="s">
        <v>6</v>
      </c>
      <c r="K13" s="40">
        <v>1</v>
      </c>
      <c r="L13" s="40">
        <v>0</v>
      </c>
      <c r="M13" s="40">
        <v>0</v>
      </c>
      <c r="N13" s="40">
        <v>0</v>
      </c>
      <c r="O13" s="40">
        <v>0</v>
      </c>
      <c r="P13" s="40">
        <v>0</v>
      </c>
    </row>
    <row r="14" spans="1:16" s="30" customFormat="1" ht="18" thickBot="1" x14ac:dyDescent="0.55000000000000004">
      <c r="A14" s="33"/>
      <c r="C14" s="71"/>
      <c r="D14" s="40"/>
      <c r="E14" s="40"/>
      <c r="F14" s="40"/>
      <c r="G14" s="40"/>
      <c r="H14" s="40"/>
      <c r="I14" s="40"/>
      <c r="J14" s="30" t="s">
        <v>6</v>
      </c>
      <c r="K14" s="40"/>
      <c r="L14" s="40"/>
      <c r="M14" s="40"/>
      <c r="N14" s="40"/>
      <c r="O14" s="40"/>
      <c r="P14" s="40"/>
    </row>
    <row r="15" spans="1:16" s="30" customFormat="1" ht="18" thickBot="1" x14ac:dyDescent="0.55000000000000004">
      <c r="A15" s="33"/>
      <c r="C15" s="71"/>
      <c r="D15" s="40"/>
      <c r="E15" s="40"/>
      <c r="F15" s="40"/>
      <c r="G15" s="40"/>
      <c r="H15" s="40"/>
      <c r="I15" s="40"/>
      <c r="J15" s="30" t="s">
        <v>6</v>
      </c>
      <c r="K15" s="40"/>
      <c r="L15" s="40"/>
      <c r="M15" s="40"/>
      <c r="N15" s="40"/>
      <c r="O15" s="40"/>
      <c r="P15" s="40"/>
    </row>
    <row r="16" spans="1:16" s="30" customFormat="1" ht="18" thickBot="1" x14ac:dyDescent="0.55000000000000004">
      <c r="A16" s="33"/>
      <c r="C16" s="71"/>
      <c r="D16" s="40"/>
      <c r="E16" s="40"/>
      <c r="F16" s="40"/>
      <c r="G16" s="40"/>
      <c r="H16" s="40"/>
      <c r="I16" s="40"/>
      <c r="J16" s="30" t="s">
        <v>6</v>
      </c>
      <c r="K16" s="40"/>
      <c r="L16" s="40"/>
      <c r="M16" s="40"/>
      <c r="N16" s="40"/>
      <c r="O16" s="40"/>
      <c r="P16" s="40"/>
    </row>
    <row r="17" spans="1:16" s="30" customFormat="1" ht="18" thickBot="1" x14ac:dyDescent="0.55000000000000004">
      <c r="A17" s="33"/>
      <c r="C17" s="71"/>
      <c r="D17" s="40"/>
      <c r="E17" s="40"/>
      <c r="F17" s="40"/>
      <c r="G17" s="40"/>
      <c r="H17" s="40"/>
      <c r="I17" s="40"/>
      <c r="J17" s="30" t="s">
        <v>6</v>
      </c>
      <c r="K17" s="40"/>
      <c r="L17" s="40"/>
      <c r="M17" s="40"/>
      <c r="N17" s="40"/>
      <c r="O17" s="40"/>
      <c r="P17" s="40"/>
    </row>
    <row r="18" spans="1:16" s="30" customFormat="1" ht="18" thickBot="1" x14ac:dyDescent="0.55000000000000004">
      <c r="A18" s="33"/>
      <c r="C18" s="71"/>
      <c r="D18" s="40"/>
      <c r="E18" s="40"/>
      <c r="F18" s="40"/>
      <c r="G18" s="40"/>
      <c r="H18" s="40"/>
      <c r="I18" s="40"/>
      <c r="K18" s="40"/>
      <c r="L18" s="40"/>
      <c r="M18" s="40"/>
      <c r="N18" s="40"/>
      <c r="O18" s="40"/>
      <c r="P18" s="40"/>
    </row>
    <row r="19" spans="1:16" s="30" customFormat="1" ht="18" thickBot="1" x14ac:dyDescent="0.55000000000000004">
      <c r="A19" s="33"/>
      <c r="C19" s="71"/>
      <c r="D19" s="40"/>
      <c r="E19" s="40"/>
      <c r="F19" s="40"/>
      <c r="G19" s="40"/>
      <c r="H19" s="40"/>
      <c r="I19" s="40"/>
      <c r="J19" s="33"/>
      <c r="K19" s="40"/>
      <c r="L19" s="40"/>
      <c r="M19" s="40"/>
      <c r="N19" s="40"/>
      <c r="O19" s="40"/>
      <c r="P19" s="40"/>
    </row>
    <row r="20" spans="1:16" s="30" customFormat="1" ht="18" thickBot="1" x14ac:dyDescent="0.55000000000000004">
      <c r="A20" s="33"/>
      <c r="C20" s="71"/>
      <c r="D20" s="40"/>
      <c r="E20" s="40"/>
      <c r="F20" s="40"/>
      <c r="G20" s="40"/>
      <c r="H20" s="40"/>
      <c r="I20" s="40"/>
      <c r="J20" s="33"/>
      <c r="K20" s="40"/>
      <c r="L20" s="40"/>
      <c r="M20" s="40"/>
      <c r="N20" s="40"/>
      <c r="O20" s="40"/>
      <c r="P20" s="40"/>
    </row>
    <row r="21" spans="1:16" s="33" customFormat="1" ht="18" thickBot="1" x14ac:dyDescent="0.55000000000000004">
      <c r="C21" s="71"/>
      <c r="D21" s="40"/>
      <c r="E21" s="40"/>
      <c r="F21" s="40"/>
      <c r="G21" s="40"/>
      <c r="H21" s="40"/>
      <c r="I21" s="40"/>
      <c r="K21" s="40"/>
      <c r="L21" s="40"/>
      <c r="M21" s="40"/>
      <c r="N21" s="40"/>
      <c r="O21" s="40"/>
      <c r="P21" s="40"/>
    </row>
    <row r="22" spans="1:16" s="33" customFormat="1" ht="18" thickBot="1" x14ac:dyDescent="0.55000000000000004">
      <c r="C22" s="71"/>
      <c r="D22" s="40"/>
      <c r="E22" s="40"/>
      <c r="F22" s="40"/>
      <c r="G22" s="40"/>
      <c r="H22" s="40"/>
      <c r="I22" s="40"/>
      <c r="K22" s="40"/>
      <c r="L22" s="40"/>
      <c r="M22" s="40"/>
      <c r="N22" s="40"/>
      <c r="O22" s="40"/>
      <c r="P22" s="40"/>
    </row>
    <row r="23" spans="1:16" s="33" customFormat="1" ht="18" thickBot="1" x14ac:dyDescent="0.55000000000000004">
      <c r="C23" s="71"/>
      <c r="D23" s="40"/>
      <c r="E23" s="40"/>
      <c r="F23" s="40"/>
      <c r="G23" s="40"/>
      <c r="H23" s="40"/>
      <c r="I23" s="40"/>
      <c r="K23" s="40"/>
      <c r="L23" s="40"/>
      <c r="M23" s="40"/>
      <c r="N23" s="40"/>
      <c r="O23" s="40"/>
      <c r="P23" s="40"/>
    </row>
    <row r="24" spans="1:16" s="33" customFormat="1" ht="18" thickBot="1" x14ac:dyDescent="0.55000000000000004">
      <c r="C24" s="71"/>
      <c r="D24" s="40"/>
      <c r="E24" s="40"/>
      <c r="F24" s="40"/>
      <c r="G24" s="40"/>
      <c r="H24" s="40"/>
      <c r="I24" s="40"/>
      <c r="K24" s="40"/>
      <c r="L24" s="40"/>
      <c r="M24" s="40"/>
      <c r="N24" s="40"/>
      <c r="O24" s="40"/>
      <c r="P24" s="40"/>
    </row>
    <row r="25" spans="1:16" s="33" customFormat="1" ht="18" thickBot="1" x14ac:dyDescent="0.55000000000000004">
      <c r="C25" s="71"/>
      <c r="D25" s="40"/>
      <c r="E25" s="40"/>
      <c r="F25" s="40"/>
      <c r="G25" s="40"/>
      <c r="H25" s="40"/>
      <c r="I25" s="40"/>
      <c r="K25" s="40"/>
      <c r="L25" s="40"/>
      <c r="M25" s="40"/>
      <c r="N25" s="40"/>
      <c r="O25" s="40"/>
      <c r="P25" s="40"/>
    </row>
    <row r="26" spans="1:16" s="33" customFormat="1" ht="18" thickBot="1" x14ac:dyDescent="0.55000000000000004">
      <c r="C26" s="71"/>
      <c r="D26" s="40"/>
      <c r="E26" s="40"/>
      <c r="F26" s="40"/>
      <c r="G26" s="40"/>
      <c r="H26" s="40"/>
      <c r="I26" s="40"/>
      <c r="K26" s="40"/>
      <c r="L26" s="40"/>
      <c r="M26" s="40"/>
      <c r="N26" s="40"/>
      <c r="O26" s="40"/>
      <c r="P26" s="40"/>
    </row>
    <row r="27" spans="1:16" s="33" customFormat="1" ht="18" thickBot="1" x14ac:dyDescent="0.55000000000000004">
      <c r="C27" s="71"/>
      <c r="D27" s="40"/>
      <c r="E27" s="40"/>
      <c r="F27" s="40"/>
      <c r="G27" s="40"/>
      <c r="H27" s="40"/>
      <c r="I27" s="40"/>
      <c r="K27" s="40"/>
      <c r="L27" s="40"/>
      <c r="M27" s="40"/>
      <c r="N27" s="40"/>
      <c r="O27" s="40"/>
      <c r="P27" s="40"/>
    </row>
    <row r="28" spans="1:16" s="33" customFormat="1" ht="18" thickBot="1" x14ac:dyDescent="0.55000000000000004">
      <c r="C28" s="71"/>
      <c r="D28" s="40"/>
      <c r="E28" s="40"/>
      <c r="F28" s="40"/>
      <c r="G28" s="40"/>
      <c r="H28" s="40"/>
      <c r="I28" s="40"/>
      <c r="K28" s="40"/>
      <c r="L28" s="40"/>
      <c r="M28" s="40"/>
      <c r="N28" s="40"/>
      <c r="O28" s="40"/>
      <c r="P28" s="40"/>
    </row>
    <row r="29" spans="1:16" s="33" customFormat="1" ht="18" thickBot="1" x14ac:dyDescent="0.55000000000000004">
      <c r="C29" s="71"/>
      <c r="D29" s="40"/>
      <c r="E29" s="40"/>
      <c r="F29" s="40"/>
      <c r="G29" s="40"/>
      <c r="H29" s="40"/>
      <c r="I29" s="40"/>
      <c r="K29" s="40"/>
      <c r="L29" s="40"/>
      <c r="M29" s="40"/>
      <c r="N29" s="40"/>
      <c r="O29" s="40"/>
      <c r="P29" s="40"/>
    </row>
    <row r="30" spans="1:16" s="33" customFormat="1" ht="18" thickBot="1" x14ac:dyDescent="0.55000000000000004">
      <c r="C30" s="71"/>
      <c r="D30" s="40"/>
      <c r="E30" s="40"/>
      <c r="F30" s="40"/>
      <c r="G30" s="40"/>
      <c r="H30" s="40"/>
      <c r="I30" s="40"/>
      <c r="K30" s="40"/>
      <c r="L30" s="40"/>
      <c r="M30" s="40"/>
      <c r="N30" s="40"/>
      <c r="O30" s="40"/>
      <c r="P30" s="40"/>
    </row>
    <row r="31" spans="1:16" s="33" customFormat="1" x14ac:dyDescent="0.5"/>
    <row r="32" spans="1:16" x14ac:dyDescent="0.5">
      <c r="D32" s="28"/>
    </row>
    <row r="33" spans="2:16" x14ac:dyDescent="0.5">
      <c r="B33" s="262" t="s">
        <v>236</v>
      </c>
      <c r="C33" s="263"/>
      <c r="D33" s="263"/>
      <c r="E33" s="263"/>
      <c r="F33" s="263"/>
      <c r="G33" s="264"/>
      <c r="H33" s="28"/>
    </row>
    <row r="34" spans="2:16" x14ac:dyDescent="0.5">
      <c r="B34" s="42" t="s">
        <v>183</v>
      </c>
      <c r="C34" s="42" t="s">
        <v>216</v>
      </c>
      <c r="D34" s="42" t="s">
        <v>228</v>
      </c>
      <c r="E34" s="154" t="s">
        <v>117</v>
      </c>
      <c r="F34" s="155" t="s">
        <v>7</v>
      </c>
      <c r="G34" s="42" t="s">
        <v>122</v>
      </c>
    </row>
    <row r="35" spans="2:16" x14ac:dyDescent="0.5">
      <c r="B35" s="42" t="str">
        <f>_xlfn.CONCAT(D35," en ",C35)</f>
        <v>Carbón en Taiwán</v>
      </c>
      <c r="C35" s="42" t="s">
        <v>252</v>
      </c>
      <c r="D35" s="42" t="s">
        <v>95</v>
      </c>
      <c r="E35" s="72">
        <v>60</v>
      </c>
      <c r="F35" s="156">
        <v>0</v>
      </c>
      <c r="G35" s="42" t="s">
        <v>10</v>
      </c>
    </row>
    <row r="36" spans="2:16" x14ac:dyDescent="0.5">
      <c r="B36" s="42" t="str">
        <f t="shared" ref="B36:B38" si="1">_xlfn.CONCAT(D36," en ",C36)</f>
        <v>Carbón en Port Arthur</v>
      </c>
      <c r="C36" s="42" t="s">
        <v>266</v>
      </c>
      <c r="D36" s="42" t="s">
        <v>95</v>
      </c>
      <c r="E36" s="72">
        <v>70</v>
      </c>
      <c r="F36" s="156">
        <v>0</v>
      </c>
      <c r="G36" s="42" t="s">
        <v>120</v>
      </c>
    </row>
    <row r="37" spans="2:16" x14ac:dyDescent="0.5">
      <c r="B37" s="42" t="str">
        <f t="shared" si="1"/>
        <v>nada en nada</v>
      </c>
      <c r="C37" s="42" t="s">
        <v>250</v>
      </c>
      <c r="D37" s="42" t="s">
        <v>250</v>
      </c>
      <c r="E37" s="72">
        <v>0</v>
      </c>
      <c r="F37" s="156">
        <v>0</v>
      </c>
      <c r="G37" s="42" t="s">
        <v>10</v>
      </c>
    </row>
    <row r="38" spans="2:16" x14ac:dyDescent="0.5">
      <c r="B38" s="42" t="str">
        <f t="shared" si="1"/>
        <v>nada en nada</v>
      </c>
      <c r="C38" s="42" t="s">
        <v>250</v>
      </c>
      <c r="D38" s="42" t="s">
        <v>250</v>
      </c>
      <c r="E38" s="72">
        <v>0</v>
      </c>
      <c r="F38" s="156">
        <v>0</v>
      </c>
      <c r="G38" s="42" t="s">
        <v>10</v>
      </c>
    </row>
    <row r="39" spans="2:16" x14ac:dyDescent="0.5">
      <c r="D39" s="255"/>
      <c r="E39" s="255"/>
      <c r="F39" s="13"/>
      <c r="G39" s="28"/>
    </row>
    <row r="40" spans="2:16" x14ac:dyDescent="0.5">
      <c r="D40" s="255"/>
      <c r="E40" s="255"/>
      <c r="F40" s="13"/>
      <c r="G40" s="28"/>
    </row>
    <row r="41" spans="2:16" x14ac:dyDescent="0.5">
      <c r="D41" s="255"/>
      <c r="E41" s="255"/>
      <c r="F41" s="13"/>
      <c r="G41" s="28"/>
    </row>
    <row r="42" spans="2:16" x14ac:dyDescent="0.5">
      <c r="D42" s="255"/>
      <c r="E42" s="255"/>
      <c r="F42" s="255"/>
      <c r="G42" s="14"/>
    </row>
    <row r="45" spans="2:16" x14ac:dyDescent="0.5">
      <c r="D45" s="255"/>
      <c r="E45" s="255"/>
      <c r="F45" s="255"/>
      <c r="G45" s="255"/>
      <c r="H45" s="255"/>
      <c r="I45" s="255"/>
      <c r="K45" s="255"/>
      <c r="L45" s="255"/>
      <c r="M45" s="255"/>
      <c r="N45" s="255"/>
      <c r="O45" s="255"/>
      <c r="P45" s="255"/>
    </row>
    <row r="49" spans="2:17" x14ac:dyDescent="0.5">
      <c r="D49" s="255"/>
      <c r="E49" s="255"/>
      <c r="F49" s="14"/>
      <c r="G49" s="28"/>
      <c r="I49" s="28"/>
    </row>
    <row r="50" spans="2:17" x14ac:dyDescent="0.5">
      <c r="D50" s="255"/>
      <c r="E50" s="255"/>
      <c r="F50" s="14"/>
      <c r="G50" s="28"/>
    </row>
    <row r="51" spans="2:17" x14ac:dyDescent="0.5">
      <c r="D51" s="255"/>
      <c r="E51" s="255"/>
      <c r="F51" s="14"/>
      <c r="G51" s="28"/>
    </row>
    <row r="52" spans="2:17" x14ac:dyDescent="0.5">
      <c r="D52" s="255"/>
      <c r="E52" s="255"/>
      <c r="F52" s="14"/>
      <c r="G52" s="28"/>
    </row>
    <row r="53" spans="2:17" x14ac:dyDescent="0.5">
      <c r="D53" s="255"/>
      <c r="E53" s="255"/>
      <c r="F53" s="13"/>
      <c r="G53" s="28"/>
      <c r="I53" s="28"/>
    </row>
    <row r="54" spans="2:17" x14ac:dyDescent="0.5">
      <c r="D54" s="255"/>
      <c r="E54" s="255"/>
      <c r="F54" s="13"/>
      <c r="G54" s="28"/>
    </row>
    <row r="55" spans="2:17" x14ac:dyDescent="0.5">
      <c r="D55" s="255"/>
      <c r="E55" s="255"/>
      <c r="F55" s="255"/>
      <c r="G55" s="14"/>
    </row>
    <row r="56" spans="2:17" x14ac:dyDescent="0.5">
      <c r="D56" s="28"/>
      <c r="G56" s="14"/>
      <c r="H56" s="28"/>
    </row>
    <row r="57" spans="2:17" ht="17.649999999999999" customHeight="1" x14ac:dyDescent="0.5">
      <c r="Q57" s="32"/>
    </row>
    <row r="58" spans="2:17" x14ac:dyDescent="0.5"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</row>
    <row r="59" spans="2:17" x14ac:dyDescent="0.5"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</row>
    <row r="61" spans="2:17" x14ac:dyDescent="0.5">
      <c r="B61" s="28"/>
      <c r="E61" s="28"/>
    </row>
    <row r="62" spans="2:17" x14ac:dyDescent="0.5">
      <c r="C62" s="28"/>
    </row>
    <row r="63" spans="2:17" x14ac:dyDescent="0.5">
      <c r="D63" s="255"/>
      <c r="E63" s="255"/>
      <c r="F63" s="255"/>
      <c r="G63" s="255"/>
      <c r="H63" s="255"/>
      <c r="I63" s="255"/>
      <c r="K63" s="255"/>
      <c r="L63" s="255"/>
      <c r="M63" s="255"/>
      <c r="N63" s="255"/>
      <c r="O63" s="255"/>
      <c r="P63" s="255"/>
    </row>
    <row r="66" spans="4:17" x14ac:dyDescent="0.5">
      <c r="D66" s="28"/>
    </row>
    <row r="67" spans="4:17" x14ac:dyDescent="0.5">
      <c r="D67" s="255"/>
      <c r="E67" s="255"/>
      <c r="F67" s="14"/>
      <c r="G67" s="28"/>
    </row>
    <row r="68" spans="4:17" x14ac:dyDescent="0.5">
      <c r="D68" s="255"/>
      <c r="E68" s="255"/>
      <c r="F68" s="14"/>
    </row>
    <row r="69" spans="4:17" x14ac:dyDescent="0.5">
      <c r="D69" s="255"/>
      <c r="E69" s="255"/>
      <c r="F69" s="13"/>
    </row>
    <row r="70" spans="4:17" x14ac:dyDescent="0.5">
      <c r="D70" s="255"/>
      <c r="E70" s="255"/>
      <c r="F70" s="13"/>
    </row>
    <row r="71" spans="4:17" x14ac:dyDescent="0.5">
      <c r="D71" s="255"/>
      <c r="E71" s="255"/>
      <c r="F71" s="255"/>
      <c r="G71" s="14"/>
    </row>
    <row r="72" spans="4:17" ht="17.649999999999999" customHeight="1" x14ac:dyDescent="0.5">
      <c r="Q72" s="34"/>
    </row>
    <row r="73" spans="4:17" x14ac:dyDescent="0.5"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</row>
    <row r="74" spans="4:17" x14ac:dyDescent="0.5"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</row>
    <row r="77" spans="4:17" x14ac:dyDescent="0.5">
      <c r="E77" s="14"/>
    </row>
    <row r="78" spans="4:17" x14ac:dyDescent="0.5">
      <c r="D78" s="255"/>
      <c r="E78" s="255"/>
      <c r="F78" s="255"/>
      <c r="G78" s="255"/>
      <c r="H78" s="255"/>
      <c r="I78" s="255"/>
      <c r="K78" s="255"/>
      <c r="L78" s="255"/>
      <c r="M78" s="255"/>
      <c r="N78" s="255"/>
      <c r="O78" s="255"/>
      <c r="P78" s="255"/>
    </row>
    <row r="82" spans="4:17" x14ac:dyDescent="0.5">
      <c r="D82" s="255"/>
      <c r="E82" s="255"/>
    </row>
    <row r="83" spans="4:17" x14ac:dyDescent="0.5">
      <c r="D83" s="255"/>
      <c r="E83" s="255"/>
      <c r="F83" s="14"/>
    </row>
    <row r="86" spans="4:17" x14ac:dyDescent="0.5">
      <c r="E86" s="14"/>
      <c r="F86" s="28"/>
      <c r="J86" s="28"/>
    </row>
    <row r="87" spans="4:17" x14ac:dyDescent="0.5">
      <c r="D87" s="255"/>
      <c r="E87" s="255"/>
      <c r="F87" s="255"/>
      <c r="G87" s="255"/>
      <c r="H87" s="255"/>
      <c r="I87" s="255"/>
      <c r="K87" s="255"/>
      <c r="L87" s="255"/>
      <c r="M87" s="255"/>
      <c r="N87" s="255"/>
      <c r="O87" s="255"/>
      <c r="P87" s="255"/>
    </row>
    <row r="91" spans="4:17" x14ac:dyDescent="0.5">
      <c r="D91" s="255"/>
      <c r="E91" s="255"/>
      <c r="F91" s="14"/>
      <c r="H91" s="28"/>
    </row>
    <row r="92" spans="4:17" x14ac:dyDescent="0.5">
      <c r="D92" s="255"/>
      <c r="E92" s="255"/>
      <c r="F92" s="14"/>
    </row>
    <row r="93" spans="4:17" x14ac:dyDescent="0.5">
      <c r="D93" s="255"/>
      <c r="E93" s="255"/>
      <c r="F93" s="13"/>
    </row>
    <row r="94" spans="4:17" x14ac:dyDescent="0.5">
      <c r="D94" s="255"/>
      <c r="E94" s="255"/>
      <c r="F94" s="255"/>
      <c r="G94" s="14"/>
    </row>
    <row r="95" spans="4:17" ht="18.75" customHeight="1" x14ac:dyDescent="0.5">
      <c r="Q95" s="34"/>
    </row>
    <row r="96" spans="4:17" x14ac:dyDescent="0.5">
      <c r="D96" s="34"/>
      <c r="E96" s="34"/>
      <c r="F96" s="34"/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34"/>
    </row>
    <row r="97" spans="2:17" x14ac:dyDescent="0.5">
      <c r="D97" s="34"/>
      <c r="E97" s="34"/>
      <c r="F97" s="34"/>
      <c r="G97" s="34"/>
      <c r="H97" s="34"/>
      <c r="I97" s="34"/>
      <c r="J97" s="34"/>
      <c r="K97" s="34"/>
      <c r="L97" s="34"/>
      <c r="M97" s="34"/>
      <c r="N97" s="34"/>
      <c r="O97" s="34"/>
      <c r="P97" s="34"/>
      <c r="Q97" s="34"/>
    </row>
    <row r="98" spans="2:17" x14ac:dyDescent="0.5">
      <c r="D98" s="34"/>
      <c r="E98" s="34"/>
      <c r="F98" s="34"/>
      <c r="G98" s="34"/>
      <c r="H98" s="34"/>
      <c r="I98" s="34"/>
      <c r="J98" s="34"/>
      <c r="K98" s="34"/>
      <c r="L98" s="34"/>
      <c r="M98" s="34"/>
      <c r="N98" s="34"/>
      <c r="O98" s="34"/>
      <c r="P98" s="34"/>
    </row>
    <row r="100" spans="2:17" x14ac:dyDescent="0.5">
      <c r="B100" s="28"/>
    </row>
    <row r="101" spans="2:17" x14ac:dyDescent="0.5">
      <c r="C101" s="28"/>
      <c r="I101" s="14"/>
    </row>
    <row r="103" spans="2:17" x14ac:dyDescent="0.5">
      <c r="E103" s="14"/>
      <c r="F103" s="28"/>
    </row>
    <row r="105" spans="2:17" x14ac:dyDescent="0.5">
      <c r="D105" s="255"/>
      <c r="E105" s="255"/>
      <c r="F105" s="14"/>
    </row>
    <row r="107" spans="2:17" x14ac:dyDescent="0.5">
      <c r="E107" s="14"/>
    </row>
    <row r="110" spans="2:17" x14ac:dyDescent="0.5">
      <c r="E110" s="14"/>
      <c r="F110" s="28"/>
    </row>
    <row r="111" spans="2:17" x14ac:dyDescent="0.5">
      <c r="D111" s="28"/>
    </row>
    <row r="112" spans="2:17" x14ac:dyDescent="0.5">
      <c r="D112" s="255"/>
      <c r="E112" s="255"/>
      <c r="F112" s="14"/>
      <c r="G112" s="28"/>
      <c r="I112" s="28"/>
    </row>
    <row r="113" spans="4:16" x14ac:dyDescent="0.5">
      <c r="D113" s="255"/>
      <c r="E113" s="255"/>
      <c r="F113" s="14"/>
      <c r="G113" s="28"/>
    </row>
    <row r="114" spans="4:16" x14ac:dyDescent="0.5">
      <c r="D114" s="255"/>
      <c r="E114" s="255"/>
      <c r="F114" s="14"/>
      <c r="G114" s="28"/>
    </row>
    <row r="115" spans="4:16" x14ac:dyDescent="0.5">
      <c r="D115" s="255"/>
      <c r="E115" s="255"/>
      <c r="F115" s="14"/>
      <c r="G115" s="14"/>
      <c r="I115" s="28"/>
    </row>
    <row r="116" spans="4:16" x14ac:dyDescent="0.5">
      <c r="D116" s="265"/>
      <c r="E116" s="265"/>
      <c r="F116" s="265"/>
      <c r="G116" s="265"/>
      <c r="H116" s="265"/>
      <c r="I116" s="265"/>
      <c r="J116" s="265"/>
      <c r="K116" s="265"/>
      <c r="L116" s="265"/>
      <c r="M116" s="265"/>
      <c r="N116" s="265"/>
      <c r="O116" s="265"/>
      <c r="P116" s="265"/>
    </row>
    <row r="117" spans="4:16" x14ac:dyDescent="0.5">
      <c r="E117" s="14"/>
      <c r="F117" s="28"/>
    </row>
    <row r="118" spans="4:16" x14ac:dyDescent="0.5">
      <c r="D118" s="255"/>
      <c r="E118" s="255"/>
    </row>
    <row r="119" spans="4:16" x14ac:dyDescent="0.5">
      <c r="D119" s="255"/>
      <c r="E119" s="255"/>
      <c r="F119" s="14"/>
      <c r="H119" s="28"/>
    </row>
    <row r="120" spans="4:16" x14ac:dyDescent="0.5">
      <c r="D120" s="255"/>
      <c r="E120" s="255"/>
      <c r="F120" s="255"/>
      <c r="G120" s="255"/>
      <c r="H120" s="255"/>
      <c r="I120" s="255"/>
      <c r="K120" s="255"/>
      <c r="L120" s="255"/>
      <c r="M120" s="255"/>
      <c r="N120" s="255"/>
      <c r="O120" s="255"/>
      <c r="P120" s="255"/>
    </row>
    <row r="123" spans="4:16" x14ac:dyDescent="0.5">
      <c r="G123" s="14"/>
    </row>
    <row r="124" spans="4:16" x14ac:dyDescent="0.5">
      <c r="G124" s="14"/>
    </row>
    <row r="125" spans="4:16" x14ac:dyDescent="0.5">
      <c r="E125" s="14"/>
      <c r="G125" s="14"/>
    </row>
    <row r="127" spans="4:16" x14ac:dyDescent="0.5">
      <c r="E127" s="14"/>
    </row>
    <row r="129" spans="2:11" x14ac:dyDescent="0.5">
      <c r="G129" s="14"/>
    </row>
    <row r="132" spans="2:11" x14ac:dyDescent="0.5">
      <c r="E132" s="14"/>
    </row>
    <row r="133" spans="2:11" x14ac:dyDescent="0.5">
      <c r="D133" s="255"/>
      <c r="E133" s="255"/>
    </row>
    <row r="134" spans="2:11" x14ac:dyDescent="0.5">
      <c r="D134" s="255"/>
      <c r="E134" s="255"/>
      <c r="F134" s="14"/>
    </row>
    <row r="136" spans="2:11" x14ac:dyDescent="0.5">
      <c r="B136" s="36"/>
    </row>
    <row r="137" spans="2:11" x14ac:dyDescent="0.5">
      <c r="B137" s="36"/>
      <c r="C137" s="36"/>
      <c r="F137" s="36"/>
    </row>
    <row r="138" spans="2:11" x14ac:dyDescent="0.5">
      <c r="B138" s="36"/>
      <c r="C138" s="36"/>
    </row>
    <row r="139" spans="2:11" x14ac:dyDescent="0.5">
      <c r="B139" s="36"/>
      <c r="C139" s="36"/>
    </row>
    <row r="140" spans="2:11" x14ac:dyDescent="0.5">
      <c r="B140" s="36"/>
      <c r="C140" s="36"/>
    </row>
    <row r="141" spans="2:11" x14ac:dyDescent="0.5">
      <c r="C141" s="36"/>
    </row>
    <row r="144" spans="2:11" x14ac:dyDescent="0.5">
      <c r="D144" s="28"/>
      <c r="K144" s="28"/>
    </row>
    <row r="145" spans="2:16" x14ac:dyDescent="0.5">
      <c r="B145" s="37"/>
      <c r="D145" s="255"/>
      <c r="E145" s="255"/>
      <c r="F145" s="255"/>
      <c r="G145" s="255"/>
      <c r="H145" s="255"/>
      <c r="I145" s="255"/>
      <c r="K145" s="255"/>
      <c r="L145" s="255"/>
      <c r="M145" s="255"/>
      <c r="N145" s="255"/>
      <c r="O145" s="255"/>
      <c r="P145" s="255"/>
    </row>
    <row r="146" spans="2:16" x14ac:dyDescent="0.5">
      <c r="C146" s="37"/>
    </row>
    <row r="150" spans="2:16" x14ac:dyDescent="0.5">
      <c r="D150" s="255"/>
      <c r="E150" s="255"/>
      <c r="F150" s="255"/>
      <c r="G150" s="255"/>
      <c r="H150" s="255"/>
      <c r="I150" s="255"/>
      <c r="K150" s="255"/>
      <c r="L150" s="255"/>
      <c r="M150" s="255"/>
      <c r="N150" s="255"/>
      <c r="O150" s="255"/>
      <c r="P150" s="255"/>
    </row>
    <row r="153" spans="2:16" x14ac:dyDescent="0.5">
      <c r="B153" s="28"/>
    </row>
    <row r="154" spans="2:16" x14ac:dyDescent="0.5">
      <c r="C154" s="28"/>
      <c r="D154" s="28"/>
      <c r="F154" s="38"/>
    </row>
    <row r="156" spans="2:16" x14ac:dyDescent="0.5">
      <c r="D156" s="39"/>
      <c r="E156" s="39"/>
      <c r="F156" s="39"/>
      <c r="G156" s="39"/>
      <c r="H156" s="39"/>
      <c r="I156" s="39"/>
      <c r="J156" s="39"/>
      <c r="K156" s="39"/>
      <c r="L156" s="39"/>
      <c r="M156" s="39"/>
      <c r="N156" s="39"/>
      <c r="O156" s="39"/>
      <c r="P156" s="39"/>
    </row>
    <row r="157" spans="2:16" x14ac:dyDescent="0.5">
      <c r="D157" s="255"/>
      <c r="E157" s="255"/>
      <c r="F157" s="255"/>
      <c r="G157" s="255"/>
      <c r="H157" s="255"/>
      <c r="I157" s="255"/>
      <c r="K157" s="255"/>
      <c r="L157" s="255"/>
      <c r="M157" s="255"/>
      <c r="N157" s="255"/>
      <c r="O157" s="255"/>
      <c r="P157" s="255"/>
    </row>
    <row r="161" spans="5:6" x14ac:dyDescent="0.5">
      <c r="E161" s="14"/>
      <c r="F161" s="28"/>
    </row>
  </sheetData>
  <sheetProtection algorithmName="SHA-512" hashValue="kdL3FXC3YJdEZWFY1M3ojrrjihTk+UXl8PefAggqnUlm3XkR0dRcdjSjTu12Iss+YBsk5fgEeGowMcttz1ydAA==" saltValue="5BM7zXH74c7bwWf9hoxt5Q==" spinCount="100000" sheet="1" objects="1" scenarios="1"/>
  <mergeCells count="55">
    <mergeCell ref="D133:E133"/>
    <mergeCell ref="D119:E119"/>
    <mergeCell ref="D120:I120"/>
    <mergeCell ref="D150:I150"/>
    <mergeCell ref="K150:P150"/>
    <mergeCell ref="D145:I145"/>
    <mergeCell ref="K145:P145"/>
    <mergeCell ref="D134:E134"/>
    <mergeCell ref="D78:I78"/>
    <mergeCell ref="D113:E113"/>
    <mergeCell ref="D116:P116"/>
    <mergeCell ref="D114:E114"/>
    <mergeCell ref="D115:E115"/>
    <mergeCell ref="K78:P78"/>
    <mergeCell ref="D83:E83"/>
    <mergeCell ref="D82:E82"/>
    <mergeCell ref="D94:F94"/>
    <mergeCell ref="D87:I87"/>
    <mergeCell ref="K87:P87"/>
    <mergeCell ref="D91:E91"/>
    <mergeCell ref="D92:E92"/>
    <mergeCell ref="D93:E93"/>
    <mergeCell ref="D52:E52"/>
    <mergeCell ref="D70:E70"/>
    <mergeCell ref="D71:F71"/>
    <mergeCell ref="D53:E53"/>
    <mergeCell ref="D54:E54"/>
    <mergeCell ref="D55:F55"/>
    <mergeCell ref="D63:I63"/>
    <mergeCell ref="B1:P1"/>
    <mergeCell ref="K9:P9"/>
    <mergeCell ref="D39:E39"/>
    <mergeCell ref="D41:E41"/>
    <mergeCell ref="B5:B6"/>
    <mergeCell ref="K5:P5"/>
    <mergeCell ref="D40:E40"/>
    <mergeCell ref="C5:I5"/>
    <mergeCell ref="C9:H9"/>
    <mergeCell ref="B33:G33"/>
    <mergeCell ref="D157:I157"/>
    <mergeCell ref="K157:P157"/>
    <mergeCell ref="K120:P120"/>
    <mergeCell ref="D42:F42"/>
    <mergeCell ref="D45:I45"/>
    <mergeCell ref="K45:P45"/>
    <mergeCell ref="D49:E49"/>
    <mergeCell ref="K63:P63"/>
    <mergeCell ref="D67:E67"/>
    <mergeCell ref="D68:E68"/>
    <mergeCell ref="D69:E69"/>
    <mergeCell ref="D51:E51"/>
    <mergeCell ref="D105:E105"/>
    <mergeCell ref="D118:E118"/>
    <mergeCell ref="D112:E112"/>
    <mergeCell ref="D50:E50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6B0D65-F908-42C6-A226-F14DF877A3E4}">
  <dimension ref="A1:J36"/>
  <sheetViews>
    <sheetView showGridLines="0" workbookViewId="0"/>
  </sheetViews>
  <sheetFormatPr defaultColWidth="9.1328125" defaultRowHeight="12.75" x14ac:dyDescent="0.35"/>
  <cols>
    <col min="5" max="5" width="9.1328125" style="26"/>
    <col min="7" max="7" width="29.1328125" bestFit="1" customWidth="1"/>
  </cols>
  <sheetData>
    <row r="1" spans="1:10" x14ac:dyDescent="0.35">
      <c r="C1" s="75" t="s">
        <v>2</v>
      </c>
      <c r="D1" s="73">
        <f>SUM(D4:D46)</f>
        <v>16</v>
      </c>
      <c r="E1" s="180"/>
    </row>
    <row r="2" spans="1:10" s="26" customFormat="1" ht="13.15" thickBot="1" x14ac:dyDescent="0.4"/>
    <row r="3" spans="1:10" s="26" customFormat="1" x14ac:dyDescent="0.35">
      <c r="A3" s="270" t="s">
        <v>234</v>
      </c>
      <c r="B3" s="271"/>
      <c r="C3" s="271"/>
      <c r="D3" s="271"/>
      <c r="E3" s="272"/>
      <c r="G3" s="270" t="s">
        <v>235</v>
      </c>
      <c r="H3" s="271"/>
      <c r="I3" s="272"/>
    </row>
    <row r="4" spans="1:10" x14ac:dyDescent="0.35">
      <c r="A4" s="266" t="s">
        <v>229</v>
      </c>
      <c r="B4" s="267"/>
      <c r="C4" s="267"/>
      <c r="D4" s="73" t="s">
        <v>230</v>
      </c>
      <c r="E4" s="181" t="s">
        <v>268</v>
      </c>
      <c r="G4" s="78" t="s">
        <v>229</v>
      </c>
      <c r="H4" s="76" t="s">
        <v>117</v>
      </c>
      <c r="I4" s="79" t="s">
        <v>123</v>
      </c>
    </row>
    <row r="5" spans="1:10" x14ac:dyDescent="0.35">
      <c r="A5" s="266" t="s">
        <v>258</v>
      </c>
      <c r="B5" s="267"/>
      <c r="C5" s="267"/>
      <c r="D5" s="73">
        <v>8</v>
      </c>
      <c r="E5" s="181">
        <v>1892</v>
      </c>
      <c r="G5" s="78" t="s">
        <v>267</v>
      </c>
      <c r="H5" s="77">
        <v>45</v>
      </c>
      <c r="I5" s="79">
        <v>1</v>
      </c>
      <c r="J5">
        <v>2</v>
      </c>
    </row>
    <row r="6" spans="1:10" x14ac:dyDescent="0.35">
      <c r="A6" s="266" t="s">
        <v>264</v>
      </c>
      <c r="B6" s="267"/>
      <c r="C6" s="267"/>
      <c r="D6" s="73">
        <v>8</v>
      </c>
      <c r="E6" s="181">
        <v>1894</v>
      </c>
      <c r="G6" s="78" t="s">
        <v>257</v>
      </c>
      <c r="H6" s="77">
        <v>50</v>
      </c>
      <c r="I6" s="79">
        <v>2</v>
      </c>
    </row>
    <row r="7" spans="1:10" x14ac:dyDescent="0.35">
      <c r="A7" s="266"/>
      <c r="B7" s="267"/>
      <c r="C7" s="267"/>
      <c r="D7" s="74"/>
      <c r="E7" s="182"/>
      <c r="G7" s="78"/>
      <c r="H7" s="77"/>
      <c r="I7" s="79"/>
    </row>
    <row r="8" spans="1:10" x14ac:dyDescent="0.35">
      <c r="A8" s="266"/>
      <c r="B8" s="267"/>
      <c r="C8" s="267"/>
      <c r="D8" s="74"/>
      <c r="E8" s="182"/>
      <c r="G8" s="78"/>
      <c r="H8" s="77"/>
      <c r="I8" s="79"/>
    </row>
    <row r="9" spans="1:10" x14ac:dyDescent="0.35">
      <c r="A9" s="266"/>
      <c r="B9" s="267"/>
      <c r="C9" s="267"/>
      <c r="D9" s="73"/>
      <c r="E9" s="181"/>
      <c r="G9" s="78"/>
      <c r="H9" s="77"/>
      <c r="I9" s="79"/>
    </row>
    <row r="10" spans="1:10" x14ac:dyDescent="0.35">
      <c r="A10" s="266"/>
      <c r="B10" s="267"/>
      <c r="C10" s="267"/>
      <c r="D10" s="74"/>
      <c r="E10" s="182"/>
      <c r="G10" s="78"/>
      <c r="H10" s="77"/>
      <c r="I10" s="79"/>
    </row>
    <row r="11" spans="1:10" x14ac:dyDescent="0.35">
      <c r="A11" s="266"/>
      <c r="B11" s="267"/>
      <c r="C11" s="267"/>
      <c r="D11" s="73"/>
      <c r="E11" s="181"/>
      <c r="G11" s="78"/>
      <c r="H11" s="77"/>
      <c r="I11" s="79"/>
    </row>
    <row r="12" spans="1:10" x14ac:dyDescent="0.35">
      <c r="A12" s="266"/>
      <c r="B12" s="267"/>
      <c r="C12" s="267"/>
      <c r="D12" s="73"/>
      <c r="E12" s="181"/>
      <c r="G12" s="78"/>
      <c r="H12" s="77"/>
      <c r="I12" s="79"/>
    </row>
    <row r="13" spans="1:10" x14ac:dyDescent="0.35">
      <c r="A13" s="266"/>
      <c r="B13" s="267"/>
      <c r="C13" s="267"/>
      <c r="D13" s="73"/>
      <c r="E13" s="181"/>
      <c r="G13" s="78"/>
      <c r="H13" s="77"/>
      <c r="I13" s="79"/>
    </row>
    <row r="14" spans="1:10" ht="13.15" thickBot="1" x14ac:dyDescent="0.4">
      <c r="A14" s="268"/>
      <c r="B14" s="269"/>
      <c r="C14" s="269"/>
      <c r="D14" s="183"/>
      <c r="E14" s="184"/>
      <c r="G14" s="80"/>
      <c r="H14" s="175"/>
      <c r="I14" s="81"/>
    </row>
    <row r="15" spans="1:10" x14ac:dyDescent="0.35">
      <c r="D15" s="27"/>
      <c r="E15" s="27"/>
    </row>
    <row r="16" spans="1:10" x14ac:dyDescent="0.35">
      <c r="D16" s="27"/>
      <c r="E16" s="27"/>
    </row>
    <row r="17" spans="4:5" x14ac:dyDescent="0.35">
      <c r="D17" s="27"/>
      <c r="E17" s="27"/>
    </row>
    <row r="18" spans="4:5" x14ac:dyDescent="0.35">
      <c r="D18" s="27"/>
      <c r="E18" s="27"/>
    </row>
    <row r="19" spans="4:5" x14ac:dyDescent="0.35">
      <c r="D19" s="27"/>
      <c r="E19" s="27"/>
    </row>
    <row r="20" spans="4:5" x14ac:dyDescent="0.35">
      <c r="D20" s="27"/>
      <c r="E20" s="27"/>
    </row>
    <row r="21" spans="4:5" x14ac:dyDescent="0.35">
      <c r="D21" s="27"/>
      <c r="E21" s="27"/>
    </row>
    <row r="22" spans="4:5" x14ac:dyDescent="0.35">
      <c r="D22" s="27"/>
      <c r="E22" s="27"/>
    </row>
    <row r="23" spans="4:5" x14ac:dyDescent="0.35">
      <c r="D23" s="27"/>
      <c r="E23" s="27"/>
    </row>
    <row r="24" spans="4:5" x14ac:dyDescent="0.35">
      <c r="D24" s="27"/>
      <c r="E24" s="27"/>
    </row>
    <row r="25" spans="4:5" x14ac:dyDescent="0.35">
      <c r="D25" s="27"/>
      <c r="E25" s="27"/>
    </row>
    <row r="26" spans="4:5" x14ac:dyDescent="0.35">
      <c r="D26" s="27"/>
      <c r="E26" s="27"/>
    </row>
    <row r="27" spans="4:5" x14ac:dyDescent="0.35">
      <c r="D27" s="27"/>
      <c r="E27" s="27"/>
    </row>
    <row r="28" spans="4:5" x14ac:dyDescent="0.35">
      <c r="D28" s="27"/>
      <c r="E28" s="27"/>
    </row>
    <row r="29" spans="4:5" x14ac:dyDescent="0.35">
      <c r="D29" s="27"/>
      <c r="E29" s="27"/>
    </row>
    <row r="30" spans="4:5" x14ac:dyDescent="0.35">
      <c r="D30" s="27"/>
      <c r="E30" s="27"/>
    </row>
    <row r="31" spans="4:5" x14ac:dyDescent="0.35">
      <c r="D31" s="27"/>
      <c r="E31" s="27"/>
    </row>
    <row r="32" spans="4:5" x14ac:dyDescent="0.35">
      <c r="D32" s="27"/>
      <c r="E32" s="27"/>
    </row>
    <row r="33" spans="4:5" x14ac:dyDescent="0.35">
      <c r="D33" s="27"/>
      <c r="E33" s="27"/>
    </row>
    <row r="34" spans="4:5" x14ac:dyDescent="0.35">
      <c r="D34" s="27"/>
      <c r="E34" s="27"/>
    </row>
    <row r="35" spans="4:5" x14ac:dyDescent="0.35">
      <c r="D35" s="27"/>
      <c r="E35" s="27"/>
    </row>
    <row r="36" spans="4:5" x14ac:dyDescent="0.35">
      <c r="D36" s="27"/>
      <c r="E36" s="27"/>
    </row>
  </sheetData>
  <sheetProtection algorithmName="SHA-512" hashValue="OJk303UF3cu3nW4EKk3gouvWZXApUfS9WeEKsB5OUSPDjwUQcH+0ILmHlD7ABhLAuJjSoYpyjTdxSKEMDWdeEA==" saltValue="0gXBLmB8JjK2+6O1vFr26Q==" spinCount="100000" sheet="1" objects="1" scenarios="1"/>
  <mergeCells count="13">
    <mergeCell ref="G3:I3"/>
    <mergeCell ref="A10:C10"/>
    <mergeCell ref="A11:C11"/>
    <mergeCell ref="A12:C12"/>
    <mergeCell ref="A3:E3"/>
    <mergeCell ref="A13:C13"/>
    <mergeCell ref="A14:C14"/>
    <mergeCell ref="A4:C4"/>
    <mergeCell ref="A5:C5"/>
    <mergeCell ref="A6:C6"/>
    <mergeCell ref="A7:C7"/>
    <mergeCell ref="A8:C8"/>
    <mergeCell ref="A9:C9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U46"/>
  <sheetViews>
    <sheetView topLeftCell="A3" workbookViewId="0">
      <selection activeCell="D15" sqref="D15"/>
    </sheetView>
  </sheetViews>
  <sheetFormatPr defaultColWidth="9.1328125" defaultRowHeight="17.649999999999999" x14ac:dyDescent="0.5"/>
  <cols>
    <col min="1" max="1" width="9.1328125" style="1"/>
    <col min="2" max="2" width="13" style="1" customWidth="1"/>
    <col min="3" max="3" width="11" style="1" customWidth="1"/>
    <col min="4" max="9" width="9.1328125" style="1"/>
    <col min="10" max="10" width="12.6640625" style="1" customWidth="1"/>
    <col min="11" max="12" width="9.1328125" style="1"/>
    <col min="13" max="13" width="9.53125" style="1" customWidth="1"/>
    <col min="14" max="14" width="9.1328125" style="1"/>
    <col min="15" max="15" width="10.86328125" style="1" customWidth="1"/>
    <col min="16" max="16" width="14.33203125" style="1" customWidth="1"/>
    <col min="17" max="17" width="10.6640625" style="1" bestFit="1" customWidth="1"/>
    <col min="18" max="19" width="9.1328125" style="1"/>
    <col min="20" max="20" width="11.33203125" style="1" customWidth="1"/>
    <col min="21" max="16384" width="9.1328125" style="1"/>
  </cols>
  <sheetData>
    <row r="1" spans="1:21" x14ac:dyDescent="0.5">
      <c r="D1" s="1" t="s">
        <v>25</v>
      </c>
      <c r="I1" s="273" t="s">
        <v>26</v>
      </c>
      <c r="P1" s="273" t="s">
        <v>29</v>
      </c>
      <c r="Q1" s="273" t="s">
        <v>30</v>
      </c>
    </row>
    <row r="2" spans="1:21" x14ac:dyDescent="0.5">
      <c r="I2" s="273"/>
      <c r="J2" s="1" t="s">
        <v>16</v>
      </c>
      <c r="K2" s="1" t="s">
        <v>17</v>
      </c>
      <c r="L2" s="1" t="s">
        <v>18</v>
      </c>
      <c r="M2" s="1" t="s">
        <v>19</v>
      </c>
      <c r="N2" s="1" t="s">
        <v>27</v>
      </c>
      <c r="O2" s="1" t="s">
        <v>28</v>
      </c>
      <c r="P2" s="273"/>
      <c r="Q2" s="273"/>
      <c r="T2" s="1" t="s">
        <v>42</v>
      </c>
    </row>
    <row r="3" spans="1:21" x14ac:dyDescent="0.5">
      <c r="B3" s="1" t="s">
        <v>9</v>
      </c>
      <c r="D3" s="1" t="s">
        <v>8</v>
      </c>
      <c r="I3" s="1" t="s">
        <v>12</v>
      </c>
      <c r="J3" s="1">
        <f>IF(Econ!C127&gt;0,(VLOOKUP(Econ!D127,Land_Builds,2)*Econ!C127),0)</f>
        <v>0</v>
      </c>
      <c r="K3" s="1">
        <f>IF(Econ!E127&gt;0,(VLOOKUP(Econ!F127,Land_Builds,3)*Econ!E127),0)</f>
        <v>0</v>
      </c>
      <c r="L3" s="1">
        <f>IF(Econ!G127&gt;0,(VLOOKUP(Econ!H127,Land_Builds,4)*Econ!G127),0)</f>
        <v>0</v>
      </c>
      <c r="M3" s="1">
        <f>IF(Econ!I127&gt;0,(VLOOKUP(Econ!J127,Land_Builds,5)*Econ!I127),0)</f>
        <v>0</v>
      </c>
      <c r="N3" s="1">
        <f>COUNTIFS(J3:M3,"&gt;0")</f>
        <v>0</v>
      </c>
      <c r="O3" s="1">
        <f>IF(N3&gt;0,N3-1,0)</f>
        <v>0</v>
      </c>
      <c r="P3" s="2">
        <f>O3*5</f>
        <v>0</v>
      </c>
      <c r="Q3" s="2">
        <f>J3+K3+L3+M3+P3</f>
        <v>0</v>
      </c>
    </row>
    <row r="4" spans="1:21" x14ac:dyDescent="0.5">
      <c r="D4" s="1" t="s">
        <v>20</v>
      </c>
      <c r="I4" s="1" t="s">
        <v>13</v>
      </c>
      <c r="J4" s="1">
        <f>IF(Econ!C128&gt;0,(VLOOKUP(Econ!D128,Land_Builds,2)*Econ!C128),0)</f>
        <v>0</v>
      </c>
      <c r="K4" s="1">
        <f>IF(Econ!E128&gt;0,(VLOOKUP(Econ!F128,Land_Builds,3)*Econ!E128),0)</f>
        <v>0</v>
      </c>
      <c r="L4" s="1">
        <f>IF(Econ!G128&gt;0,(VLOOKUP(Econ!H128,Land_Builds,4)*Econ!G128),0)</f>
        <v>0</v>
      </c>
      <c r="M4" s="1">
        <f>IF(Econ!I128&gt;0,(VLOOKUP(Econ!J128,Land_Builds,5)*Econ!I128),0)</f>
        <v>0</v>
      </c>
      <c r="N4" s="1">
        <f t="shared" ref="N4:N6" si="0">COUNTIFS(J4:M4,"&gt;0")</f>
        <v>0</v>
      </c>
      <c r="O4" s="1">
        <f t="shared" ref="O4:O6" si="1">IF(N4&gt;0,N4-1,0)</f>
        <v>0</v>
      </c>
      <c r="P4" s="2">
        <f t="shared" ref="P4:P6" si="2">O4*5</f>
        <v>0</v>
      </c>
      <c r="Q4" s="2">
        <f t="shared" ref="Q4:Q6" si="3">J4+K4+L4+M4+P4</f>
        <v>0</v>
      </c>
      <c r="T4" s="1" t="s">
        <v>185</v>
      </c>
      <c r="U4" s="2">
        <v>20</v>
      </c>
    </row>
    <row r="5" spans="1:21" x14ac:dyDescent="0.5">
      <c r="B5" s="1" t="s">
        <v>10</v>
      </c>
      <c r="D5" s="1" t="s">
        <v>21</v>
      </c>
      <c r="I5" s="1" t="s">
        <v>14</v>
      </c>
      <c r="J5" s="1">
        <f>IF(Econ!C129&gt;0,(VLOOKUP(Econ!D129,Land_Builds,2)*Econ!C129),0)</f>
        <v>0</v>
      </c>
      <c r="K5" s="1">
        <f>IF(Econ!E129&gt;0,(VLOOKUP(Econ!F129,Land_Builds,3)*Econ!E129),0)</f>
        <v>0</v>
      </c>
      <c r="L5" s="1">
        <f>IF(Econ!G129&gt;0,(VLOOKUP(Econ!H129,Land_Builds,4)*Econ!G129),0)</f>
        <v>0</v>
      </c>
      <c r="M5" s="1">
        <f>IF(Econ!I129&gt;0,(VLOOKUP(Econ!J129,Land_Builds,5)*Econ!I129),0)</f>
        <v>0</v>
      </c>
      <c r="N5" s="1">
        <f t="shared" si="0"/>
        <v>0</v>
      </c>
      <c r="O5" s="1">
        <f t="shared" si="1"/>
        <v>0</v>
      </c>
      <c r="P5" s="2">
        <f t="shared" si="2"/>
        <v>0</v>
      </c>
      <c r="Q5" s="2">
        <f t="shared" si="3"/>
        <v>0</v>
      </c>
      <c r="T5" s="1" t="s">
        <v>186</v>
      </c>
      <c r="U5" s="2">
        <v>30</v>
      </c>
    </row>
    <row r="6" spans="1:21" x14ac:dyDescent="0.5">
      <c r="B6" s="1" t="s">
        <v>120</v>
      </c>
      <c r="D6" s="1" t="s">
        <v>22</v>
      </c>
      <c r="I6" s="1" t="s">
        <v>15</v>
      </c>
      <c r="J6" s="1">
        <f>IF(Econ!C130&gt;0,(VLOOKUP(Econ!D130,Land_Builds,2)*Econ!C130),0)</f>
        <v>0</v>
      </c>
      <c r="K6" s="1">
        <f>IF(Econ!E130&gt;0,(VLOOKUP(Econ!F130,Land_Builds,3)*Econ!E130),0)</f>
        <v>0</v>
      </c>
      <c r="L6" s="1">
        <f>IF(Econ!G130&gt;0,(VLOOKUP(Econ!H130,Land_Builds,4)*Econ!G130),0)</f>
        <v>0</v>
      </c>
      <c r="M6" s="1">
        <f>IF(Econ!I130&gt;0,(VLOOKUP(Econ!J130,Land_Builds,5)*Econ!I130),0)</f>
        <v>0</v>
      </c>
      <c r="N6" s="1">
        <f t="shared" si="0"/>
        <v>0</v>
      </c>
      <c r="O6" s="1">
        <f t="shared" si="1"/>
        <v>0</v>
      </c>
      <c r="P6" s="2">
        <f t="shared" si="2"/>
        <v>0</v>
      </c>
      <c r="Q6" s="2">
        <f t="shared" si="3"/>
        <v>0</v>
      </c>
      <c r="T6" s="1" t="s">
        <v>187</v>
      </c>
      <c r="U6" s="2">
        <v>20</v>
      </c>
    </row>
    <row r="7" spans="1:21" x14ac:dyDescent="0.5">
      <c r="D7" s="1" t="s">
        <v>23</v>
      </c>
      <c r="T7" s="1" t="s">
        <v>188</v>
      </c>
      <c r="U7" s="2">
        <v>5</v>
      </c>
    </row>
    <row r="8" spans="1:21" x14ac:dyDescent="0.5">
      <c r="D8" s="1" t="s">
        <v>24</v>
      </c>
    </row>
    <row r="9" spans="1:21" x14ac:dyDescent="0.5">
      <c r="I9" s="1" t="s">
        <v>6</v>
      </c>
    </row>
    <row r="10" spans="1:21" x14ac:dyDescent="0.5">
      <c r="I10" s="1" t="s">
        <v>6</v>
      </c>
      <c r="J10" s="1" t="s">
        <v>6</v>
      </c>
      <c r="K10" s="1" t="s">
        <v>6</v>
      </c>
      <c r="L10" s="1" t="s">
        <v>6</v>
      </c>
    </row>
    <row r="11" spans="1:21" x14ac:dyDescent="0.5">
      <c r="B11" s="5" t="s">
        <v>11</v>
      </c>
      <c r="J11" s="274" t="s">
        <v>45</v>
      </c>
      <c r="K11" s="274"/>
      <c r="L11" s="274"/>
      <c r="M11" s="274"/>
      <c r="N11" s="274"/>
      <c r="Q11" s="1" t="s">
        <v>47</v>
      </c>
    </row>
    <row r="12" spans="1:21" x14ac:dyDescent="0.5">
      <c r="B12" s="1" t="s">
        <v>25</v>
      </c>
      <c r="C12" s="1" t="s">
        <v>16</v>
      </c>
      <c r="D12" s="1" t="s">
        <v>17</v>
      </c>
      <c r="E12" s="1" t="s">
        <v>18</v>
      </c>
      <c r="F12" s="1" t="s">
        <v>19</v>
      </c>
      <c r="I12" s="1" t="s">
        <v>6</v>
      </c>
      <c r="K12" s="1" t="s">
        <v>4</v>
      </c>
      <c r="L12" s="1" t="s">
        <v>0</v>
      </c>
      <c r="M12" s="1" t="s">
        <v>1</v>
      </c>
      <c r="N12" s="1" t="s">
        <v>46</v>
      </c>
      <c r="P12" s="1" t="s">
        <v>48</v>
      </c>
      <c r="Q12" s="1">
        <f>ROUNDUP(Econ!B4,0)</f>
        <v>40</v>
      </c>
    </row>
    <row r="13" spans="1:21" x14ac:dyDescent="0.5">
      <c r="A13" s="1" t="s">
        <v>6</v>
      </c>
      <c r="B13" s="1" t="s">
        <v>8</v>
      </c>
      <c r="C13" s="1">
        <v>4</v>
      </c>
      <c r="D13" s="1">
        <v>4</v>
      </c>
      <c r="E13" s="1">
        <v>8</v>
      </c>
      <c r="F13" s="1">
        <v>18</v>
      </c>
      <c r="J13" s="29" t="s">
        <v>71</v>
      </c>
      <c r="K13" s="9">
        <v>4.5</v>
      </c>
      <c r="L13" s="8">
        <v>2</v>
      </c>
      <c r="M13" s="1">
        <v>5</v>
      </c>
      <c r="N13" s="9">
        <v>13.5</v>
      </c>
      <c r="P13" s="1" t="s">
        <v>49</v>
      </c>
      <c r="Q13" s="1">
        <f>Militar!B25+Militar!D25+Militar!H25+Militar!J25</f>
        <v>11</v>
      </c>
    </row>
    <row r="14" spans="1:21" x14ac:dyDescent="0.5">
      <c r="B14" s="1" t="s">
        <v>20</v>
      </c>
      <c r="C14" s="1">
        <v>4</v>
      </c>
      <c r="D14" s="1">
        <v>4</v>
      </c>
      <c r="E14" s="1">
        <v>7</v>
      </c>
      <c r="F14" s="1">
        <v>16</v>
      </c>
      <c r="J14" s="29" t="s">
        <v>68</v>
      </c>
      <c r="K14" s="9">
        <v>8</v>
      </c>
      <c r="L14" s="8">
        <v>3</v>
      </c>
      <c r="M14" s="1">
        <v>10</v>
      </c>
      <c r="N14" s="9">
        <v>3.5</v>
      </c>
      <c r="P14" s="4">
        <v>1.5</v>
      </c>
      <c r="Q14" s="1">
        <f>Q12*1.5</f>
        <v>60</v>
      </c>
    </row>
    <row r="15" spans="1:21" x14ac:dyDescent="0.5">
      <c r="B15" s="1" t="s">
        <v>21</v>
      </c>
      <c r="C15" s="1">
        <v>3</v>
      </c>
      <c r="D15" s="1">
        <v>3</v>
      </c>
      <c r="E15" s="1">
        <v>6</v>
      </c>
      <c r="F15" s="1">
        <v>14</v>
      </c>
      <c r="J15" s="29" t="s">
        <v>66</v>
      </c>
      <c r="K15" s="9">
        <v>7.5</v>
      </c>
      <c r="L15" s="8">
        <v>2.75</v>
      </c>
      <c r="M15" s="1">
        <v>10</v>
      </c>
      <c r="N15" s="9">
        <v>5</v>
      </c>
      <c r="P15" s="1" t="s">
        <v>50</v>
      </c>
      <c r="Q15" s="1">
        <f>IF(Militar!B29="Yes",5,0)</f>
        <v>0</v>
      </c>
    </row>
    <row r="16" spans="1:21" x14ac:dyDescent="0.5">
      <c r="B16" s="1" t="s">
        <v>22</v>
      </c>
      <c r="C16" s="1">
        <v>3</v>
      </c>
      <c r="D16" s="1">
        <v>3</v>
      </c>
      <c r="E16" s="1">
        <v>6</v>
      </c>
      <c r="F16" s="1">
        <v>12</v>
      </c>
      <c r="J16" s="29" t="s">
        <v>44</v>
      </c>
      <c r="K16" s="9">
        <v>6</v>
      </c>
      <c r="L16" s="8">
        <v>2.5</v>
      </c>
      <c r="M16" s="1">
        <v>7</v>
      </c>
      <c r="N16" s="9">
        <v>8</v>
      </c>
      <c r="P16" s="25" t="s">
        <v>51</v>
      </c>
      <c r="Q16" s="25">
        <f>IF(Q13&gt;Q14,5,0)</f>
        <v>0</v>
      </c>
      <c r="R16" s="25">
        <f>IF(Q13&lt;Q12,-5,0)</f>
        <v>-5</v>
      </c>
      <c r="S16" s="25">
        <f>IF(Q13&gt;(Q12*2),5,0)</f>
        <v>0</v>
      </c>
    </row>
    <row r="17" spans="2:19" x14ac:dyDescent="0.5">
      <c r="B17" s="1" t="s">
        <v>23</v>
      </c>
      <c r="C17" s="1">
        <v>3</v>
      </c>
      <c r="D17" s="1">
        <v>3</v>
      </c>
      <c r="E17" s="1">
        <v>6</v>
      </c>
      <c r="F17" s="1">
        <v>12</v>
      </c>
      <c r="J17" s="29" t="s">
        <v>69</v>
      </c>
      <c r="K17" s="9">
        <v>5.5</v>
      </c>
      <c r="L17" s="8">
        <v>2.25</v>
      </c>
      <c r="M17" s="1">
        <v>6</v>
      </c>
      <c r="N17" s="9">
        <v>9.5</v>
      </c>
      <c r="P17" s="25" t="s">
        <v>52</v>
      </c>
      <c r="Q17" s="25">
        <f>10+Q15+Q16+R16</f>
        <v>5</v>
      </c>
      <c r="R17" s="25"/>
      <c r="S17" s="25"/>
    </row>
    <row r="18" spans="2:19" x14ac:dyDescent="0.5">
      <c r="B18" s="1" t="s">
        <v>24</v>
      </c>
      <c r="C18" s="1">
        <v>3</v>
      </c>
      <c r="D18" s="1">
        <v>3</v>
      </c>
      <c r="E18" s="1">
        <v>6</v>
      </c>
      <c r="F18" s="1">
        <v>12</v>
      </c>
      <c r="J18" s="29" t="s">
        <v>67</v>
      </c>
      <c r="K18" s="9">
        <v>7</v>
      </c>
      <c r="L18" s="8">
        <v>2.75</v>
      </c>
      <c r="M18" s="1">
        <v>9</v>
      </c>
      <c r="N18" s="9">
        <v>6.5</v>
      </c>
      <c r="P18" s="25" t="s">
        <v>53</v>
      </c>
      <c r="Q18" s="25">
        <f>10+Q15+R16+S16</f>
        <v>5</v>
      </c>
      <c r="R18" s="25"/>
      <c r="S18" s="25"/>
    </row>
    <row r="19" spans="2:19" x14ac:dyDescent="0.5">
      <c r="J19" s="29" t="s">
        <v>70</v>
      </c>
      <c r="K19" s="9">
        <v>5</v>
      </c>
      <c r="L19" s="8">
        <v>2.25</v>
      </c>
      <c r="M19" s="1">
        <v>5</v>
      </c>
      <c r="N19" s="9">
        <v>11.5</v>
      </c>
    </row>
    <row r="21" spans="2:19" x14ac:dyDescent="0.5">
      <c r="B21" s="5" t="s">
        <v>31</v>
      </c>
    </row>
    <row r="22" spans="2:19" x14ac:dyDescent="0.5">
      <c r="B22" s="1" t="s">
        <v>25</v>
      </c>
      <c r="C22" s="1" t="s">
        <v>32</v>
      </c>
      <c r="D22" s="1" t="s">
        <v>33</v>
      </c>
      <c r="E22" s="1" t="s">
        <v>34</v>
      </c>
      <c r="F22" s="1" t="s">
        <v>35</v>
      </c>
      <c r="G22" s="1" t="s">
        <v>36</v>
      </c>
      <c r="J22" s="1" t="s">
        <v>68</v>
      </c>
      <c r="M22" s="1" t="s">
        <v>54</v>
      </c>
    </row>
    <row r="23" spans="2:19" x14ac:dyDescent="0.5">
      <c r="B23" s="1" t="s">
        <v>8</v>
      </c>
      <c r="C23" s="1">
        <v>3</v>
      </c>
      <c r="D23" s="1">
        <v>3</v>
      </c>
      <c r="E23" s="1">
        <v>6</v>
      </c>
      <c r="F23" s="1">
        <v>6</v>
      </c>
      <c r="G23" s="1">
        <v>10</v>
      </c>
      <c r="J23" s="29" t="s">
        <v>66</v>
      </c>
      <c r="M23" s="6"/>
    </row>
    <row r="24" spans="2:19" x14ac:dyDescent="0.5">
      <c r="B24" s="1" t="s">
        <v>20</v>
      </c>
      <c r="C24" s="1">
        <v>3</v>
      </c>
      <c r="D24" s="1">
        <v>3</v>
      </c>
      <c r="E24" s="1">
        <v>5</v>
      </c>
      <c r="F24" s="1">
        <v>5</v>
      </c>
      <c r="G24" s="1">
        <v>8</v>
      </c>
      <c r="J24" s="29" t="s">
        <v>67</v>
      </c>
      <c r="M24" s="1" t="str">
        <f>Econ!A71</f>
        <v>Industria</v>
      </c>
      <c r="O24" s="4">
        <f>Econ!C71+Econ!E71</f>
        <v>0.4</v>
      </c>
      <c r="P24" s="4">
        <f>IF(Econ!F71&lt;1,1,((O24-1)/Econ!E71))</f>
        <v>-1.4999999999999998</v>
      </c>
      <c r="Q24" s="4">
        <f>1-P24</f>
        <v>2.5</v>
      </c>
    </row>
    <row r="25" spans="2:19" x14ac:dyDescent="0.5">
      <c r="B25" s="1" t="s">
        <v>21</v>
      </c>
      <c r="C25" s="1">
        <v>2</v>
      </c>
      <c r="D25" s="1">
        <v>2</v>
      </c>
      <c r="E25" s="1">
        <v>4</v>
      </c>
      <c r="F25" s="1">
        <v>4</v>
      </c>
      <c r="G25" s="1">
        <v>7</v>
      </c>
      <c r="J25" s="1" t="s">
        <v>44</v>
      </c>
      <c r="M25" s="6" t="str">
        <f>Econ!A72</f>
        <v>Industria</v>
      </c>
      <c r="O25" s="4">
        <f>Econ!C72+Econ!E72</f>
        <v>0.4</v>
      </c>
      <c r="P25" s="4">
        <f>IF(Econ!F72&lt;1,1,((O25-1)/Econ!E72))</f>
        <v>-1.4999999999999998</v>
      </c>
      <c r="Q25" s="4">
        <f t="shared" ref="Q25:Q28" si="4">1-P25</f>
        <v>2.5</v>
      </c>
    </row>
    <row r="26" spans="2:19" x14ac:dyDescent="0.5">
      <c r="B26" s="1" t="s">
        <v>22</v>
      </c>
      <c r="C26" s="1">
        <v>2</v>
      </c>
      <c r="D26" s="1">
        <v>2</v>
      </c>
      <c r="E26" s="1">
        <v>4</v>
      </c>
      <c r="F26" s="1">
        <v>4</v>
      </c>
      <c r="G26" s="1">
        <v>6</v>
      </c>
      <c r="J26" s="1" t="s">
        <v>69</v>
      </c>
      <c r="M26" s="6" t="e">
        <f>Econ!#REF!</f>
        <v>#REF!</v>
      </c>
      <c r="O26" s="4" t="e">
        <f>Econ!#REF!+Econ!#REF!</f>
        <v>#REF!</v>
      </c>
      <c r="P26" s="4" t="e">
        <f>IF(Econ!#REF!&lt;1,1,((O26-1)/Econ!#REF!))</f>
        <v>#REF!</v>
      </c>
      <c r="Q26" s="4" t="e">
        <f t="shared" si="4"/>
        <v>#REF!</v>
      </c>
    </row>
    <row r="27" spans="2:19" x14ac:dyDescent="0.5">
      <c r="B27" s="1" t="s">
        <v>23</v>
      </c>
      <c r="C27" s="1">
        <v>2</v>
      </c>
      <c r="D27" s="1">
        <v>2</v>
      </c>
      <c r="E27" s="1">
        <v>4</v>
      </c>
      <c r="F27" s="1">
        <v>4</v>
      </c>
      <c r="G27" s="1">
        <v>6</v>
      </c>
      <c r="J27" s="1" t="s">
        <v>70</v>
      </c>
      <c r="M27" s="6" t="e">
        <f>Econ!#REF!</f>
        <v>#REF!</v>
      </c>
      <c r="O27" s="4" t="e">
        <f>Econ!#REF!+Econ!#REF!</f>
        <v>#REF!</v>
      </c>
      <c r="P27" s="4" t="e">
        <f>IF(Econ!#REF!&lt;1,1,((O27-1)/Econ!#REF!))</f>
        <v>#REF!</v>
      </c>
      <c r="Q27" s="4" t="e">
        <f t="shared" si="4"/>
        <v>#REF!</v>
      </c>
    </row>
    <row r="28" spans="2:19" x14ac:dyDescent="0.5">
      <c r="B28" s="1" t="s">
        <v>24</v>
      </c>
      <c r="C28" s="1">
        <v>2</v>
      </c>
      <c r="D28" s="1">
        <v>2</v>
      </c>
      <c r="E28" s="1">
        <v>4</v>
      </c>
      <c r="F28" s="1">
        <v>4</v>
      </c>
      <c r="G28" s="1">
        <v>6</v>
      </c>
      <c r="J28" s="1" t="s">
        <v>71</v>
      </c>
      <c r="M28" s="12" t="e">
        <f>Econ!#REF!</f>
        <v>#REF!</v>
      </c>
      <c r="O28" s="4" t="e">
        <f>Econ!#REF!+Econ!#REF!</f>
        <v>#REF!</v>
      </c>
      <c r="P28" s="4" t="e">
        <f>IF(Econ!#REF!&lt;1,1,((O28-1)/Econ!#REF!))</f>
        <v>#REF!</v>
      </c>
      <c r="Q28" s="4" t="e">
        <f t="shared" si="4"/>
        <v>#REF!</v>
      </c>
    </row>
    <row r="29" spans="2:19" x14ac:dyDescent="0.5">
      <c r="M29" s="6" t="s">
        <v>6</v>
      </c>
    </row>
    <row r="30" spans="2:19" x14ac:dyDescent="0.5">
      <c r="B30" s="1" t="s">
        <v>39</v>
      </c>
    </row>
    <row r="31" spans="2:19" x14ac:dyDescent="0.5">
      <c r="C31" s="1" t="s">
        <v>37</v>
      </c>
      <c r="D31" s="1" t="s">
        <v>38</v>
      </c>
      <c r="E31" s="1" t="s">
        <v>8</v>
      </c>
      <c r="F31" s="1" t="s">
        <v>20</v>
      </c>
      <c r="G31" s="1" t="s">
        <v>21</v>
      </c>
      <c r="H31" s="1" t="s">
        <v>22</v>
      </c>
      <c r="I31" s="1" t="s">
        <v>23</v>
      </c>
      <c r="J31" s="1" t="s">
        <v>24</v>
      </c>
      <c r="M31" s="1" t="s">
        <v>8</v>
      </c>
      <c r="N31" s="4">
        <v>0.15</v>
      </c>
      <c r="Q31" s="1" t="s">
        <v>10</v>
      </c>
    </row>
    <row r="32" spans="2:19" x14ac:dyDescent="0.5">
      <c r="B32" s="1" t="s">
        <v>171</v>
      </c>
      <c r="C32" s="1">
        <v>4</v>
      </c>
      <c r="D32" s="1">
        <v>4</v>
      </c>
      <c r="E32" s="1">
        <v>10</v>
      </c>
      <c r="F32" s="1">
        <v>8</v>
      </c>
      <c r="G32" s="1">
        <v>7</v>
      </c>
      <c r="H32" s="1">
        <v>6</v>
      </c>
      <c r="I32" s="1">
        <v>6</v>
      </c>
      <c r="J32" s="1">
        <v>6</v>
      </c>
      <c r="M32" s="1" t="s">
        <v>20</v>
      </c>
      <c r="N32" s="4">
        <v>0.2</v>
      </c>
      <c r="Q32" s="1" t="s">
        <v>120</v>
      </c>
    </row>
    <row r="33" spans="2:14" x14ac:dyDescent="0.5">
      <c r="B33" s="1" t="s">
        <v>172</v>
      </c>
      <c r="C33" s="1">
        <v>2</v>
      </c>
      <c r="D33" s="1">
        <v>2</v>
      </c>
      <c r="E33" s="1">
        <v>6</v>
      </c>
      <c r="F33" s="1">
        <v>5</v>
      </c>
      <c r="G33" s="1">
        <v>4</v>
      </c>
      <c r="H33" s="1">
        <v>4</v>
      </c>
      <c r="I33" s="1">
        <v>4</v>
      </c>
      <c r="J33" s="1">
        <v>4</v>
      </c>
      <c r="M33" s="1" t="s">
        <v>21</v>
      </c>
      <c r="N33" s="4">
        <v>0.25</v>
      </c>
    </row>
    <row r="34" spans="2:14" x14ac:dyDescent="0.5">
      <c r="B34" s="1" t="s">
        <v>173</v>
      </c>
      <c r="C34" s="1">
        <v>1</v>
      </c>
      <c r="D34" s="1">
        <v>1</v>
      </c>
      <c r="E34" s="1">
        <v>3</v>
      </c>
      <c r="F34" s="1">
        <v>3</v>
      </c>
      <c r="G34" s="1">
        <v>2</v>
      </c>
      <c r="H34" s="1">
        <v>2</v>
      </c>
      <c r="I34" s="1">
        <v>2</v>
      </c>
      <c r="J34" s="1">
        <v>2</v>
      </c>
      <c r="M34" s="1" t="s">
        <v>22</v>
      </c>
      <c r="N34" s="4">
        <v>0.3</v>
      </c>
    </row>
    <row r="35" spans="2:14" x14ac:dyDescent="0.5">
      <c r="B35" s="1" t="s">
        <v>174</v>
      </c>
      <c r="C35" s="1">
        <v>1</v>
      </c>
      <c r="D35" s="1">
        <v>1</v>
      </c>
      <c r="E35" s="1">
        <v>3</v>
      </c>
      <c r="F35" s="1">
        <v>3</v>
      </c>
      <c r="G35" s="1">
        <v>2</v>
      </c>
      <c r="H35" s="1">
        <v>2</v>
      </c>
      <c r="I35" s="1">
        <v>2</v>
      </c>
      <c r="J35" s="1">
        <v>2</v>
      </c>
      <c r="M35" s="1" t="s">
        <v>23</v>
      </c>
      <c r="N35" s="4">
        <v>0.35</v>
      </c>
    </row>
    <row r="36" spans="2:14" x14ac:dyDescent="0.5">
      <c r="B36" s="1" t="s">
        <v>175</v>
      </c>
      <c r="C36" s="1">
        <v>2</v>
      </c>
      <c r="D36" s="1">
        <v>2</v>
      </c>
      <c r="E36" s="1">
        <v>6</v>
      </c>
      <c r="F36" s="1">
        <v>5</v>
      </c>
      <c r="G36" s="1">
        <v>4</v>
      </c>
      <c r="H36" s="1">
        <v>4</v>
      </c>
      <c r="I36" s="1">
        <v>4</v>
      </c>
      <c r="J36" s="1">
        <v>4</v>
      </c>
      <c r="M36" s="1" t="s">
        <v>24</v>
      </c>
      <c r="N36" s="4">
        <v>0.4</v>
      </c>
    </row>
    <row r="37" spans="2:14" x14ac:dyDescent="0.5">
      <c r="B37" s="1" t="s">
        <v>176</v>
      </c>
      <c r="C37" s="1">
        <v>2</v>
      </c>
      <c r="D37" s="1">
        <v>2</v>
      </c>
      <c r="E37" s="1">
        <v>4</v>
      </c>
      <c r="F37" s="1">
        <v>4</v>
      </c>
      <c r="G37" s="1">
        <v>4</v>
      </c>
      <c r="H37" s="1">
        <v>4</v>
      </c>
      <c r="I37" s="1">
        <v>4</v>
      </c>
      <c r="J37" s="1">
        <v>4</v>
      </c>
    </row>
    <row r="39" spans="2:14" x14ac:dyDescent="0.5">
      <c r="D39" s="1" t="s">
        <v>40</v>
      </c>
    </row>
    <row r="40" spans="2:14" x14ac:dyDescent="0.5">
      <c r="B40" s="1" t="s">
        <v>8</v>
      </c>
      <c r="C40" s="1">
        <v>4</v>
      </c>
      <c r="D40" s="1">
        <v>1</v>
      </c>
      <c r="E40" s="1" t="e">
        <f>VLOOKUP(Econ!E145,ShipQlookup,2)</f>
        <v>#N/A</v>
      </c>
    </row>
    <row r="41" spans="2:14" x14ac:dyDescent="0.5">
      <c r="B41" s="1" t="s">
        <v>20</v>
      </c>
      <c r="C41" s="1">
        <v>5</v>
      </c>
      <c r="D41" s="1">
        <v>2</v>
      </c>
      <c r="E41" s="1" t="e">
        <f>VLOOKUP(Econ!E146,ShipQlookup,2)</f>
        <v>#N/A</v>
      </c>
    </row>
    <row r="42" spans="2:14" x14ac:dyDescent="0.5">
      <c r="B42" s="1" t="s">
        <v>21</v>
      </c>
      <c r="C42" s="1">
        <v>6</v>
      </c>
      <c r="D42" s="1">
        <v>3</v>
      </c>
      <c r="E42" s="1" t="e">
        <f>VLOOKUP(Econ!E146,ShipQlookup,2)</f>
        <v>#N/A</v>
      </c>
    </row>
    <row r="43" spans="2:14" x14ac:dyDescent="0.5">
      <c r="B43" s="1" t="s">
        <v>22</v>
      </c>
      <c r="C43" s="1">
        <v>7</v>
      </c>
      <c r="D43" s="1">
        <v>4</v>
      </c>
      <c r="E43" s="1" t="e">
        <f>VLOOKUP(Econ!E147,ShipQlookup,2)</f>
        <v>#N/A</v>
      </c>
    </row>
    <row r="44" spans="2:14" x14ac:dyDescent="0.5">
      <c r="B44" s="1" t="s">
        <v>23</v>
      </c>
      <c r="C44" s="1">
        <v>8</v>
      </c>
      <c r="D44" s="1">
        <v>5</v>
      </c>
      <c r="E44" s="1" t="e">
        <f>VLOOKUP(Econ!E148,ShipQlookup,2)</f>
        <v>#N/A</v>
      </c>
    </row>
    <row r="45" spans="2:14" x14ac:dyDescent="0.5">
      <c r="B45" s="1" t="s">
        <v>24</v>
      </c>
      <c r="C45" s="1">
        <v>9</v>
      </c>
      <c r="D45" s="1">
        <v>6</v>
      </c>
      <c r="E45" s="1" t="e">
        <f>VLOOKUP(Econ!E149,ShipQlookup,2)</f>
        <v>#N/A</v>
      </c>
    </row>
    <row r="46" spans="2:14" x14ac:dyDescent="0.5">
      <c r="D46" s="1">
        <v>7</v>
      </c>
      <c r="E46" s="1" t="e">
        <f>VLOOKUP(Econ!E150,ShipQlookup,2)</f>
        <v>#N/A</v>
      </c>
    </row>
  </sheetData>
  <sortState xmlns:xlrd2="http://schemas.microsoft.com/office/spreadsheetml/2017/richdata2" ref="J13:N19">
    <sortCondition ref="J13:J19"/>
  </sortState>
  <mergeCells count="4">
    <mergeCell ref="I1:I2"/>
    <mergeCell ref="Q1:Q2"/>
    <mergeCell ref="P1:P2"/>
    <mergeCell ref="J11:N11"/>
  </mergeCells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13</vt:i4>
      </vt:variant>
    </vt:vector>
  </HeadingPairs>
  <TitlesOfParts>
    <vt:vector size="18" baseType="lpstr">
      <vt:lpstr>Econ</vt:lpstr>
      <vt:lpstr>Militar</vt:lpstr>
      <vt:lpstr>Colonias</vt:lpstr>
      <vt:lpstr>Ferrocarriles</vt:lpstr>
      <vt:lpstr>Data</vt:lpstr>
      <vt:lpstr>Bond_rating</vt:lpstr>
      <vt:lpstr>Econ_chart</vt:lpstr>
      <vt:lpstr>Econ_level</vt:lpstr>
      <vt:lpstr>Invest_option</vt:lpstr>
      <vt:lpstr>Land_Builds</vt:lpstr>
      <vt:lpstr>Mil_Buildings</vt:lpstr>
      <vt:lpstr>MilitaryB_cost</vt:lpstr>
      <vt:lpstr>Naval_builds</vt:lpstr>
      <vt:lpstr>Ship_size</vt:lpstr>
      <vt:lpstr>Ship_types</vt:lpstr>
      <vt:lpstr>ShipQlookup</vt:lpstr>
      <vt:lpstr>Weapon_Quality</vt:lpstr>
      <vt:lpstr>Yes_No</vt:lpstr>
    </vt:vector>
  </TitlesOfParts>
  <Company>Novartis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Cody, Glen (Ext)</dc:creator>
  <cp:lastModifiedBy>Néstor Seguí Martínez</cp:lastModifiedBy>
  <dcterms:created xsi:type="dcterms:W3CDTF">2017-05-12T13:11:48Z</dcterms:created>
  <dcterms:modified xsi:type="dcterms:W3CDTF">2021-03-06T04:53:03Z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 id">
    <vt:lpwstr>1c2c7f19-dca1-43a0-9ebe-eae97200b718</vt:lpwstr>
  </property>
  <property fmtid="{D5CDD505-2E9C-101B-9397-08002B2CF9AE}" pid="3" name="Workbook type">
    <vt:lpwstr>Custom</vt:lpwstr>
  </property>
  <property fmtid="{D5CDD505-2E9C-101B-9397-08002B2CF9AE}" pid="4" name="Workbook version">
    <vt:lpwstr>Custom</vt:lpwstr>
  </property>
  <property fmtid="{D5CDD505-2E9C-101B-9397-08002B2CF9AE}" pid="5" name="MSIP_Label_f42aa342-8706-4288-bd11-ebb85995028c_Enabled">
    <vt:lpwstr>true</vt:lpwstr>
  </property>
  <property fmtid="{D5CDD505-2E9C-101B-9397-08002B2CF9AE}" pid="6" name="MSIP_Label_f42aa342-8706-4288-bd11-ebb85995028c_SetDate">
    <vt:lpwstr>2020-07-12T10:31:42Z</vt:lpwstr>
  </property>
  <property fmtid="{D5CDD505-2E9C-101B-9397-08002B2CF9AE}" pid="7" name="MSIP_Label_f42aa342-8706-4288-bd11-ebb85995028c_Method">
    <vt:lpwstr>Standard</vt:lpwstr>
  </property>
  <property fmtid="{D5CDD505-2E9C-101B-9397-08002B2CF9AE}" pid="8" name="MSIP_Label_f42aa342-8706-4288-bd11-ebb85995028c_Name">
    <vt:lpwstr>Internal</vt:lpwstr>
  </property>
  <property fmtid="{D5CDD505-2E9C-101B-9397-08002B2CF9AE}" pid="9" name="MSIP_Label_f42aa342-8706-4288-bd11-ebb85995028c_SiteId">
    <vt:lpwstr>72f988bf-86f1-41af-91ab-2d7cd011db47</vt:lpwstr>
  </property>
  <property fmtid="{D5CDD505-2E9C-101B-9397-08002B2CF9AE}" pid="10" name="MSIP_Label_f42aa342-8706-4288-bd11-ebb85995028c_ActionId">
    <vt:lpwstr>192b51a1-ae0d-4d6b-a121-f3b522b3f5a6</vt:lpwstr>
  </property>
  <property fmtid="{D5CDD505-2E9C-101B-9397-08002B2CF9AE}" pid="11" name="MSIP_Label_f42aa342-8706-4288-bd11-ebb85995028c_ContentBits">
    <vt:lpwstr>0</vt:lpwstr>
  </property>
</Properties>
</file>