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segui\Downloads\Nuevo Orden\1896\Inicio\"/>
    </mc:Choice>
  </mc:AlternateContent>
  <xr:revisionPtr revIDLastSave="0" documentId="13_ncr:1_{14A522F1-13EC-4ECF-B225-12FDCD9FDF4A}" xr6:coauthVersionLast="46" xr6:coauthVersionMax="46" xr10:uidLastSave="{00000000-0000-0000-0000-000000000000}"/>
  <bookViews>
    <workbookView xWindow="-98" yWindow="-98" windowWidth="20715" windowHeight="13276" xr2:uid="{00000000-000D-0000-FFFF-FFFF00000000}"/>
  </bookViews>
  <sheets>
    <sheet name="Econ" sheetId="1" r:id="rId1"/>
    <sheet name="Militar" sheetId="3" r:id="rId2"/>
    <sheet name="Colonias" sheetId="4" r:id="rId3"/>
    <sheet name="Ferrocarriles" sheetId="5" r:id="rId4"/>
    <sheet name="Data" sheetId="2" state="hidden" r:id="rId5"/>
  </sheets>
  <definedNames>
    <definedName name="Bond_rating">Data!$M$31:$N$36</definedName>
    <definedName name="Econ_chart">Data!$J$13:$N$19</definedName>
    <definedName name="Econ_level">Data!$J$22:$J$28</definedName>
    <definedName name="Invest_option">Data!$Q$31:$Q$32</definedName>
    <definedName name="Land_Builds">Data!$B$13:$F$18</definedName>
    <definedName name="Mil_Buildings">Data!$T$3:$T$7</definedName>
    <definedName name="MilitaryB_cost">Data!$T$4:$U$7</definedName>
    <definedName name="Naval_builds">Data!$B$23:$G$28</definedName>
    <definedName name="Ship_size">Data!$B$32:$J$37</definedName>
    <definedName name="Ship_types">Data!$B$31:$B$37</definedName>
    <definedName name="ShipQlookup">Data!$B$40:$C$45</definedName>
    <definedName name="Weapon_Quality">Data!$D$2:$D$8</definedName>
    <definedName name="Yes_No">Data!$B$4:$B$6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4" l="1"/>
  <c r="B41" i="4" l="1"/>
  <c r="H77" i="1" l="1"/>
  <c r="H78" i="1"/>
  <c r="H79" i="1"/>
  <c r="H80" i="1"/>
  <c r="H76" i="1"/>
  <c r="C77" i="1"/>
  <c r="C78" i="1"/>
  <c r="C79" i="1"/>
  <c r="C80" i="1"/>
  <c r="C76" i="1"/>
  <c r="B77" i="1"/>
  <c r="B78" i="1"/>
  <c r="B79" i="1"/>
  <c r="B80" i="1"/>
  <c r="B76" i="1"/>
  <c r="E7" i="4" l="1"/>
  <c r="F7" i="4"/>
  <c r="G7" i="4"/>
  <c r="H7" i="4"/>
  <c r="F32" i="1" s="1"/>
  <c r="I7" i="4"/>
  <c r="D7" i="4"/>
  <c r="L7" i="4"/>
  <c r="M7" i="4"/>
  <c r="N7" i="4"/>
  <c r="O7" i="4"/>
  <c r="P7" i="4"/>
  <c r="K7" i="4"/>
  <c r="B37" i="4"/>
  <c r="B38" i="4"/>
  <c r="B39" i="4"/>
  <c r="B40" i="4"/>
  <c r="B43" i="4"/>
  <c r="B36" i="4"/>
  <c r="B25" i="3" l="1"/>
  <c r="G193" i="1"/>
  <c r="C85" i="1"/>
  <c r="C86" i="1"/>
  <c r="C87" i="1"/>
  <c r="C84" i="1"/>
  <c r="B85" i="1"/>
  <c r="B86" i="1"/>
  <c r="B87" i="1"/>
  <c r="B84" i="1"/>
  <c r="E73" i="1"/>
  <c r="G73" i="1" s="1"/>
  <c r="E74" i="1"/>
  <c r="G74" i="1" s="1"/>
  <c r="E75" i="1"/>
  <c r="F75" i="1" s="1"/>
  <c r="F73" i="1" l="1"/>
  <c r="F74" i="1"/>
  <c r="G75" i="1"/>
  <c r="E85" i="1"/>
  <c r="E86" i="1"/>
  <c r="E87" i="1"/>
  <c r="E84" i="1"/>
  <c r="G77" i="1" l="1"/>
  <c r="E77" i="1"/>
  <c r="F77" i="1" s="1"/>
  <c r="E78" i="1"/>
  <c r="F78" i="1" s="1"/>
  <c r="E79" i="1"/>
  <c r="G79" i="1" s="1"/>
  <c r="E80" i="1"/>
  <c r="G80" i="1" s="1"/>
  <c r="E76" i="1"/>
  <c r="F76" i="1" s="1"/>
  <c r="C7" i="4"/>
  <c r="G78" i="1" l="1"/>
  <c r="F80" i="1"/>
  <c r="F79" i="1"/>
  <c r="G76" i="1"/>
  <c r="C88" i="3"/>
  <c r="C164" i="1" l="1"/>
  <c r="C165" i="1"/>
  <c r="C166" i="1"/>
  <c r="C163" i="1"/>
  <c r="C145" i="1" l="1"/>
  <c r="C146" i="1"/>
  <c r="C147" i="1"/>
  <c r="C148" i="1"/>
  <c r="C149" i="1"/>
  <c r="C144" i="1"/>
  <c r="B149" i="1"/>
  <c r="B148" i="1"/>
  <c r="B147" i="1"/>
  <c r="B146" i="1"/>
  <c r="B145" i="1"/>
  <c r="B144" i="1"/>
  <c r="F103" i="1"/>
  <c r="F104" i="1"/>
  <c r="F105" i="1"/>
  <c r="F106" i="1"/>
  <c r="F107" i="1"/>
  <c r="F108" i="1"/>
  <c r="F109" i="1"/>
  <c r="F110" i="1"/>
  <c r="F102" i="1"/>
  <c r="E103" i="1"/>
  <c r="E104" i="1"/>
  <c r="E105" i="1"/>
  <c r="E106" i="1"/>
  <c r="E107" i="1"/>
  <c r="E108" i="1"/>
  <c r="E109" i="1"/>
  <c r="E110" i="1"/>
  <c r="E102" i="1"/>
  <c r="F85" i="1" l="1"/>
  <c r="F86" i="1"/>
  <c r="F87" i="1"/>
  <c r="F84" i="1"/>
  <c r="E72" i="1" l="1"/>
  <c r="G72" i="1" s="1"/>
  <c r="E71" i="1"/>
  <c r="F71" i="1" s="1"/>
  <c r="G55" i="1"/>
  <c r="F55" i="1"/>
  <c r="E55" i="1"/>
  <c r="D55" i="1"/>
  <c r="C55" i="1"/>
  <c r="B55" i="1"/>
  <c r="B31" i="1"/>
  <c r="E24" i="1"/>
  <c r="C24" i="1"/>
  <c r="B24" i="1"/>
  <c r="F72" i="1" l="1"/>
  <c r="G71" i="1"/>
  <c r="G81" i="1" l="1"/>
  <c r="F145" i="1"/>
  <c r="D32" i="1" l="1"/>
  <c r="D34" i="1" s="1"/>
  <c r="F34" i="1"/>
  <c r="F96" i="1" l="1"/>
  <c r="F95" i="1"/>
  <c r="F94" i="1"/>
  <c r="F93" i="1"/>
  <c r="G33" i="1" l="1"/>
  <c r="G35" i="1" s="1"/>
  <c r="F33" i="1"/>
  <c r="F35" i="1" s="1"/>
  <c r="E33" i="1"/>
  <c r="E35" i="1" s="1"/>
  <c r="D33" i="1"/>
  <c r="D35" i="1" s="1"/>
  <c r="C33" i="1"/>
  <c r="C35" i="1" s="1"/>
  <c r="G32" i="1"/>
  <c r="G34" i="1" s="1"/>
  <c r="E32" i="1"/>
  <c r="E34" i="1" s="1"/>
  <c r="C32" i="1"/>
  <c r="C34" i="1" s="1"/>
  <c r="B32" i="1"/>
  <c r="B34" i="1" s="1"/>
  <c r="E41" i="2" l="1"/>
  <c r="G145" i="1" s="1"/>
  <c r="D1" i="5" l="1"/>
  <c r="B9" i="1" s="1"/>
  <c r="K129" i="1" l="1"/>
  <c r="K128" i="1"/>
  <c r="K127" i="1"/>
  <c r="F147" i="1" l="1"/>
  <c r="F146" i="1"/>
  <c r="F144" i="1"/>
  <c r="F148" i="1" l="1"/>
  <c r="F149" i="1"/>
  <c r="B33" i="1" l="1"/>
  <c r="D60" i="1" l="1"/>
  <c r="O53" i="1" l="1"/>
  <c r="N53" i="1"/>
  <c r="M53" i="1"/>
  <c r="L53" i="1"/>
  <c r="K53" i="1"/>
  <c r="J53" i="1"/>
  <c r="G53" i="1"/>
  <c r="F53" i="1"/>
  <c r="E53" i="1"/>
  <c r="D53" i="1"/>
  <c r="C53" i="1"/>
  <c r="B53" i="1"/>
  <c r="C25" i="1"/>
  <c r="B25" i="1"/>
  <c r="C56" i="1" l="1"/>
  <c r="B56" i="1"/>
  <c r="G31" i="1" l="1"/>
  <c r="F31" i="1"/>
  <c r="E31" i="1"/>
  <c r="D31" i="1"/>
  <c r="C31" i="1"/>
  <c r="D25" i="3"/>
  <c r="B36" i="3" s="1"/>
  <c r="H25" i="3"/>
  <c r="J25" i="3"/>
  <c r="Q12" i="2"/>
  <c r="Q14" i="2" s="1"/>
  <c r="Q15" i="2"/>
  <c r="B35" i="1"/>
  <c r="N24" i="1"/>
  <c r="N26" i="1"/>
  <c r="N25" i="1"/>
  <c r="N27" i="1"/>
  <c r="N28" i="1"/>
  <c r="N23" i="1"/>
  <c r="M24" i="1"/>
  <c r="M26" i="1"/>
  <c r="M25" i="1"/>
  <c r="M27" i="1"/>
  <c r="M28" i="1"/>
  <c r="M23" i="1"/>
  <c r="L24" i="1"/>
  <c r="L26" i="1"/>
  <c r="L25" i="1"/>
  <c r="L27" i="1"/>
  <c r="L28" i="1"/>
  <c r="L23" i="1"/>
  <c r="K24" i="1"/>
  <c r="K26" i="1"/>
  <c r="K25" i="1"/>
  <c r="K27" i="1"/>
  <c r="K28" i="1"/>
  <c r="K23" i="1"/>
  <c r="G109" i="1"/>
  <c r="D23" i="1"/>
  <c r="D25" i="1" s="1"/>
  <c r="D56" i="1" s="1"/>
  <c r="E23" i="1"/>
  <c r="E25" i="1" s="1"/>
  <c r="E56" i="1" s="1"/>
  <c r="F23" i="1"/>
  <c r="F25" i="1" s="1"/>
  <c r="F56" i="1" s="1"/>
  <c r="G23" i="1"/>
  <c r="G25" i="1" s="1"/>
  <c r="G56" i="1" s="1"/>
  <c r="C23" i="1"/>
  <c r="B59" i="3"/>
  <c r="D59" i="3"/>
  <c r="L59" i="3"/>
  <c r="H59" i="3"/>
  <c r="J59" i="3"/>
  <c r="F59" i="3"/>
  <c r="C78" i="3"/>
  <c r="C91" i="3"/>
  <c r="C95" i="3"/>
  <c r="I8" i="1"/>
  <c r="H63" i="1"/>
  <c r="J3" i="2"/>
  <c r="K3" i="2"/>
  <c r="L3" i="2"/>
  <c r="M3" i="2"/>
  <c r="J4" i="2"/>
  <c r="K4" i="2"/>
  <c r="L4" i="2"/>
  <c r="M4" i="2"/>
  <c r="J5" i="2"/>
  <c r="K5" i="2"/>
  <c r="L5" i="2"/>
  <c r="M5" i="2"/>
  <c r="J6" i="2"/>
  <c r="K6" i="2"/>
  <c r="L6" i="2"/>
  <c r="M6" i="2"/>
  <c r="E40" i="2"/>
  <c r="G144" i="1" s="1"/>
  <c r="E42" i="2"/>
  <c r="G146" i="1" s="1"/>
  <c r="E43" i="2"/>
  <c r="G147" i="1" s="1"/>
  <c r="E44" i="2"/>
  <c r="G148" i="1" s="1"/>
  <c r="E45" i="2"/>
  <c r="G149" i="1" s="1"/>
  <c r="E46" i="2"/>
  <c r="H36" i="3"/>
  <c r="H71" i="3"/>
  <c r="I62" i="1"/>
  <c r="G62" i="1"/>
  <c r="F62" i="1"/>
  <c r="F25" i="3"/>
  <c r="G61" i="1"/>
  <c r="F61" i="1"/>
  <c r="B23" i="1"/>
  <c r="N29" i="1"/>
  <c r="M29" i="1"/>
  <c r="L29" i="1"/>
  <c r="K29" i="1"/>
  <c r="O24" i="2"/>
  <c r="B140" i="1"/>
  <c r="O26" i="2"/>
  <c r="O28" i="2"/>
  <c r="M25" i="2"/>
  <c r="M26" i="2"/>
  <c r="M27" i="2"/>
  <c r="M28" i="2"/>
  <c r="M24" i="2"/>
  <c r="I135" i="1"/>
  <c r="I60" i="1"/>
  <c r="I61" i="1"/>
  <c r="I63" i="1"/>
  <c r="M127" i="1"/>
  <c r="M128" i="1"/>
  <c r="M129" i="1"/>
  <c r="K126" i="1"/>
  <c r="M126" i="1" s="1"/>
  <c r="B129" i="1"/>
  <c r="B128" i="1"/>
  <c r="B126" i="1"/>
  <c r="B127" i="1"/>
  <c r="B125" i="1"/>
  <c r="H51" i="1" l="1"/>
  <c r="P51" i="1"/>
  <c r="B99" i="3"/>
  <c r="O11" i="3" s="1"/>
  <c r="I9" i="1"/>
  <c r="F88" i="1"/>
  <c r="E88" i="1"/>
  <c r="E89" i="1" s="1"/>
  <c r="P52" i="1"/>
  <c r="H52" i="1"/>
  <c r="O27" i="2"/>
  <c r="B64" i="3"/>
  <c r="B65" i="3" s="1"/>
  <c r="O9" i="3" s="1"/>
  <c r="O25" i="2"/>
  <c r="P25" i="2" s="1"/>
  <c r="Q25" i="2" s="1"/>
  <c r="B64" i="1"/>
  <c r="F97" i="1"/>
  <c r="P24" i="2"/>
  <c r="Q24" i="2" s="1"/>
  <c r="N6" i="2"/>
  <c r="O6" i="2" s="1"/>
  <c r="P6" i="2" s="1"/>
  <c r="Q6" i="2" s="1"/>
  <c r="L129" i="1" s="1"/>
  <c r="P26" i="2"/>
  <c r="Q26" i="2" s="1"/>
  <c r="C167" i="1"/>
  <c r="F150" i="1"/>
  <c r="H150" i="1" s="1"/>
  <c r="F111" i="1"/>
  <c r="P28" i="2"/>
  <c r="Q28" i="2" s="1"/>
  <c r="N5" i="2"/>
  <c r="O5" i="2" s="1"/>
  <c r="P5" i="2" s="1"/>
  <c r="Q5" i="2" s="1"/>
  <c r="L128" i="1" s="1"/>
  <c r="G150" i="1"/>
  <c r="I64" i="1"/>
  <c r="F64" i="1"/>
  <c r="E64" i="1"/>
  <c r="D64" i="1"/>
  <c r="G64" i="1"/>
  <c r="N4" i="2"/>
  <c r="O4" i="2" s="1"/>
  <c r="P4" i="2" s="1"/>
  <c r="Q4" i="2" s="1"/>
  <c r="L127" i="1" s="1"/>
  <c r="N3" i="2"/>
  <c r="O3" i="2" s="1"/>
  <c r="P3" i="2" s="1"/>
  <c r="Q3" i="2" s="1"/>
  <c r="L126" i="1" s="1"/>
  <c r="C64" i="1"/>
  <c r="G28" i="3"/>
  <c r="Q13" i="2"/>
  <c r="B35" i="3"/>
  <c r="B37" i="3" s="1"/>
  <c r="P8" i="3" s="1"/>
  <c r="P53" i="1" l="1"/>
  <c r="H53" i="1"/>
  <c r="O12" i="3"/>
  <c r="B11" i="1" s="1"/>
  <c r="B66" i="3"/>
  <c r="P9" i="3" s="1"/>
  <c r="P12" i="3" s="1"/>
  <c r="B5" i="1" s="1"/>
  <c r="B8" i="1" s="1"/>
  <c r="G63" i="3"/>
  <c r="P27" i="2"/>
  <c r="Q27" i="2" s="1"/>
  <c r="B115" i="1"/>
  <c r="L130" i="1"/>
  <c r="Q16" i="2"/>
  <c r="R16" i="2"/>
  <c r="S16" i="2"/>
  <c r="B116" i="1" l="1"/>
  <c r="B120" i="1"/>
  <c r="D120" i="1" s="1"/>
  <c r="B15" i="1"/>
  <c r="H56" i="1" s="1"/>
  <c r="H64" i="1" s="1"/>
  <c r="F112" i="1" s="1"/>
  <c r="Q17" i="2"/>
  <c r="Q18" i="2"/>
  <c r="H135" i="1" l="1"/>
  <c r="E115" i="1"/>
  <c r="G195" i="1" l="1"/>
  <c r="J28" i="3" s="1"/>
  <c r="H72" i="3" s="1"/>
  <c r="D10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Cody, Glen (Ext)</author>
    <author>Frys</author>
  </authors>
  <commentList>
    <comment ref="A9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Must have approval of the owner of the Territory before investing.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2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Has R&amp;R  been completed in territory 
the last 3 game years?
</t>
        </r>
      </text>
    </comment>
    <comment ref="C10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% of R&amp;D completed.</t>
        </r>
      </text>
    </comment>
    <comment ref="D101" authorId="1" shapeId="0" xr:uid="{00000000-0006-0000-0000-000006000000}">
      <text>
        <r>
          <rPr>
            <sz val="9"/>
            <color indexed="81"/>
            <rFont val="Tahoma"/>
            <family val="2"/>
          </rPr>
          <t xml:space="preserve">Options: No, yes, Continue
</t>
        </r>
      </text>
    </comment>
    <comment ref="C12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Small Arms - 1 per point
</t>
        </r>
      </text>
    </comment>
    <comment ref="D12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Quality of weapons;
$3/each, $4 if A or B.</t>
        </r>
      </text>
    </comment>
    <comment ref="E12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Machine Gun - 1 per point</t>
        </r>
      </text>
    </comment>
    <comment ref="F125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Quality of weapons;
$3/each, $4 if A or B.</t>
        </r>
      </text>
    </comment>
    <comment ref="G125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Field artilly (light) 2 points per unit</t>
        </r>
      </text>
    </comment>
    <comment ref="H125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Quality of Equipment.
$6/each, $7 if B or C, $8 if A.
</t>
        </r>
      </text>
    </comment>
    <comment ref="I125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Heavy Artillery (Siege)- 4 points per unit
</t>
        </r>
      </text>
    </comment>
    <comment ref="J125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Quality of equipment
$12/each, $14 if C, $16 if B, $18 of A.</t>
        </r>
      </text>
    </comment>
    <comment ref="B143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Number of ship sizes need per year of construction
</t>
        </r>
      </text>
    </comment>
    <comment ref="C143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Time to complete: Number of years to need to build the ship
</t>
        </r>
      </text>
    </comment>
    <comment ref="E143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Quality of Ship
</t>
        </r>
      </text>
    </comment>
    <comment ref="B154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Number of ship sizes need per year of construction
</t>
        </r>
      </text>
    </comment>
    <comment ref="C154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Time to complete: Number of years to need to build the ship
</t>
        </r>
      </text>
    </comment>
    <comment ref="E154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Quality of Ship
</t>
        </r>
      </text>
    </comment>
    <comment ref="A172" authorId="0" shapeId="0" xr:uid="{00000000-0006-0000-0000-000015000000}">
      <text>
        <r>
          <rPr>
            <sz val="9"/>
            <color indexed="81"/>
            <rFont val="Tahoma"/>
            <family val="2"/>
          </rPr>
          <t xml:space="preserve">Use this to add any orders not listed on the sheet like transfer of funds or payment of training.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Cody, Glen (Ext)</author>
    <author>Frys</author>
  </authors>
  <commentList>
    <comment ref="F2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Cost to train your Army.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8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Cash remaining from Econ page.
</t>
        </r>
      </text>
    </comment>
    <comment ref="B48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Size = 4
</t>
        </r>
      </text>
    </comment>
    <comment ref="D48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Size = 2
</t>
        </r>
      </text>
    </comment>
    <comment ref="F48" authorId="1" shapeId="0" xr:uid="{00000000-0006-0000-0100-000005000000}">
      <text>
        <r>
          <rPr>
            <sz val="9"/>
            <color indexed="81"/>
            <rFont val="Tahoma"/>
            <family val="2"/>
          </rPr>
          <t xml:space="preserve">Size = 2
</t>
        </r>
      </text>
    </comment>
    <comment ref="H48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Size = 1</t>
        </r>
      </text>
    </comment>
    <comment ref="J48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Size = 1
</t>
        </r>
      </text>
    </comment>
    <comment ref="L48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Size = 2
</t>
        </r>
      </text>
    </comment>
    <comment ref="F63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Cost per year to train your navy.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Cody, Glen (Ext)</author>
    <author>Frys</author>
  </authors>
  <commentList>
    <comment ref="N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Number of lots
</t>
        </r>
      </text>
    </comment>
    <comment ref="O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Number of retools on the line.
</t>
        </r>
      </text>
    </comment>
    <comment ref="P12" authorId="1" shapeId="0" xr:uid="{00000000-0006-0000-0300-000003000000}">
      <text>
        <r>
          <rPr>
            <sz val="9"/>
            <color indexed="81"/>
            <rFont val="Tahoma"/>
            <family val="2"/>
          </rPr>
          <t xml:space="preserve">Total Populaton
</t>
        </r>
      </text>
    </comment>
    <comment ref="Q12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Total population rounded up</t>
        </r>
      </text>
    </comment>
    <comment ref="Q15" authorId="1" shapeId="0" xr:uid="{00000000-0006-0000-0300-000005000000}">
      <text>
        <r>
          <rPr>
            <b/>
            <sz val="9"/>
            <color indexed="81"/>
            <rFont val="Tahoma"/>
            <family val="2"/>
          </rPr>
          <t xml:space="preserve">Volunter Army +$5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1" shapeId="0" xr:uid="{00000000-0006-0000-0300-000006000000}">
      <text>
        <r>
          <rPr>
            <b/>
            <sz val="9"/>
            <color indexed="81"/>
            <rFont val="Tahoma"/>
            <family val="2"/>
          </rPr>
          <t xml:space="preserve">Over limit Cost - $5 if over 150%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6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 xml:space="preserve">if # of divs are less than population: -$5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6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 xml:space="preserve">If # of Div &gt; 2X Population: +$5 (Reserves only)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2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Gunboats
</t>
        </r>
      </text>
    </comment>
    <comment ref="D22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Destroyers</t>
        </r>
      </text>
    </comment>
    <comment ref="E22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Cruisers
</t>
        </r>
      </text>
    </comment>
    <comment ref="F22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Submarines
</t>
        </r>
      </text>
    </comment>
    <comment ref="G22" authorId="0" shapeId="0" xr:uid="{00000000-0006-0000-0300-00000D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Battleships
</t>
        </r>
      </text>
    </comment>
    <comment ref="C31" authorId="0" shapeId="0" xr:uid="{00000000-0006-0000-0300-00000E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Number of ship sizes need per year of construction
</t>
        </r>
      </text>
    </comment>
    <comment ref="D31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Time to complete: Number of years to need to build the ship
</t>
        </r>
      </text>
    </comment>
  </commentList>
</comments>
</file>

<file path=xl/sharedStrings.xml><?xml version="1.0" encoding="utf-8"?>
<sst xmlns="http://schemas.openxmlformats.org/spreadsheetml/2006/main" count="647" uniqueCount="305">
  <si>
    <t>Food</t>
  </si>
  <si>
    <t>Raw</t>
  </si>
  <si>
    <t>Coal</t>
  </si>
  <si>
    <t>Iron</t>
  </si>
  <si>
    <t>Tropical</t>
  </si>
  <si>
    <t>Total</t>
  </si>
  <si>
    <t>Total:</t>
  </si>
  <si>
    <t>Goods</t>
  </si>
  <si>
    <t>Balance:</t>
  </si>
  <si>
    <t xml:space="preserve"> </t>
  </si>
  <si>
    <t>%</t>
  </si>
  <si>
    <t>A</t>
  </si>
  <si>
    <t>Yes/No</t>
  </si>
  <si>
    <t>No</t>
  </si>
  <si>
    <t>Land Builds</t>
  </si>
  <si>
    <t>Line 1</t>
  </si>
  <si>
    <t>Line 2</t>
  </si>
  <si>
    <t>Line 3</t>
  </si>
  <si>
    <t>Line 4</t>
  </si>
  <si>
    <t>SA</t>
  </si>
  <si>
    <t>MG</t>
  </si>
  <si>
    <t>FA</t>
  </si>
  <si>
    <t>HA</t>
  </si>
  <si>
    <t>B</t>
  </si>
  <si>
    <t>C</t>
  </si>
  <si>
    <t>D</t>
  </si>
  <si>
    <t>E</t>
  </si>
  <si>
    <t>F</t>
  </si>
  <si>
    <t>Quality</t>
  </si>
  <si>
    <t>Land Build Cost</t>
  </si>
  <si>
    <t>Count</t>
  </si>
  <si>
    <t>Retool(s)</t>
  </si>
  <si>
    <t>Retool Cost</t>
  </si>
  <si>
    <t>Total cost</t>
  </si>
  <si>
    <t>Naval Builds</t>
  </si>
  <si>
    <t>GB</t>
  </si>
  <si>
    <t>DD</t>
  </si>
  <si>
    <t>CA</t>
  </si>
  <si>
    <t>Sub</t>
  </si>
  <si>
    <t>BB</t>
  </si>
  <si>
    <t>Ship Size</t>
  </si>
  <si>
    <t>TTC</t>
  </si>
  <si>
    <t>Ship Types</t>
  </si>
  <si>
    <t>Line</t>
  </si>
  <si>
    <t xml:space="preserve">Total </t>
  </si>
  <si>
    <t>Military Installations</t>
  </si>
  <si>
    <t xml:space="preserve">Total  </t>
  </si>
  <si>
    <t>Normal</t>
  </si>
  <si>
    <t>Economic System</t>
  </si>
  <si>
    <t>Income</t>
  </si>
  <si>
    <t>Cost to recruit</t>
  </si>
  <si>
    <t>Pop:</t>
  </si>
  <si>
    <t>Divs</t>
  </si>
  <si>
    <t>Vol</t>
  </si>
  <si>
    <t>Inf cost</t>
  </si>
  <si>
    <t>Reg Troops</t>
  </si>
  <si>
    <t>Res Troops</t>
  </si>
  <si>
    <t>Investment Data</t>
  </si>
  <si>
    <t>(million)</t>
  </si>
  <si>
    <t>Base $</t>
  </si>
  <si>
    <t>End Cash</t>
  </si>
  <si>
    <t>Inf</t>
  </si>
  <si>
    <t>V2.1</t>
  </si>
  <si>
    <t xml:space="preserve">Balance </t>
  </si>
  <si>
    <t>País</t>
  </si>
  <si>
    <t>Población (millones)</t>
  </si>
  <si>
    <t>Población Tasable (millones):</t>
  </si>
  <si>
    <t>Nivel Económico (I.D.H):</t>
  </si>
  <si>
    <t>Ingresos:</t>
  </si>
  <si>
    <t>Recesión</t>
  </si>
  <si>
    <t>Estancado</t>
  </si>
  <si>
    <t>Fallido</t>
  </si>
  <si>
    <t>Próspero</t>
  </si>
  <si>
    <t>Exitoso</t>
  </si>
  <si>
    <t>Boom</t>
  </si>
  <si>
    <t>Nacionales:</t>
  </si>
  <si>
    <t>Colonial/Ferrocarril</t>
  </si>
  <si>
    <t>Saldo anterior presupuesto:</t>
  </si>
  <si>
    <t>Mantenimiento:</t>
  </si>
  <si>
    <t>Año:</t>
  </si>
  <si>
    <t>Crec:</t>
  </si>
  <si>
    <t>Creditos en Vigor</t>
  </si>
  <si>
    <t>Pago de Intereses</t>
  </si>
  <si>
    <t>Calif. Deuda:</t>
  </si>
  <si>
    <t>Intereses</t>
  </si>
  <si>
    <t>Nacional</t>
  </si>
  <si>
    <t>Ultramar</t>
  </si>
  <si>
    <t>Producción Total:</t>
  </si>
  <si>
    <t>Necesidades:</t>
  </si>
  <si>
    <t>Tabla de precios</t>
  </si>
  <si>
    <t>Compra</t>
  </si>
  <si>
    <t>Venta</t>
  </si>
  <si>
    <t>Mercado Mundial</t>
  </si>
  <si>
    <t>Mercado Cautivo</t>
  </si>
  <si>
    <t>Bienes</t>
  </si>
  <si>
    <t>Comida</t>
  </si>
  <si>
    <t>Exóticos</t>
  </si>
  <si>
    <t>Mat. Primas</t>
  </si>
  <si>
    <t>Carbón</t>
  </si>
  <si>
    <t>Hierro</t>
  </si>
  <si>
    <t>Petroleo*</t>
  </si>
  <si>
    <t>* - No disponible hasta 1905</t>
  </si>
  <si>
    <t>Mat Primas</t>
  </si>
  <si>
    <t>Balance Neto</t>
  </si>
  <si>
    <t>Recursos en Mercados Cautivos</t>
  </si>
  <si>
    <t>Les compramos</t>
  </si>
  <si>
    <t>Les vendemos</t>
  </si>
  <si>
    <t>Compras no cubiertas</t>
  </si>
  <si>
    <t>Ventas no cubiertas</t>
  </si>
  <si>
    <t>Si el valor es distinto de cero la demanda no habrá sido cubierta resultando en problemas políticos y/o posibles contracciones del mercado.</t>
  </si>
  <si>
    <t>Mercados Cautivos</t>
  </si>
  <si>
    <t>Balance</t>
  </si>
  <si>
    <t>(Exportaciones/Ventas/Envíos)</t>
  </si>
  <si>
    <t>(Importaciones/Compras/Recepciones)</t>
  </si>
  <si>
    <t>Balance de recursos</t>
  </si>
  <si>
    <t>Producción de Bienes</t>
  </si>
  <si>
    <t>Usando 1 Ind + 1 Mat Prima</t>
  </si>
  <si>
    <t>Usando 2 Ind + 1 Carbón + 1 Hiero</t>
  </si>
  <si>
    <t>1 Industria Pesada (IP) = 1 Ind+1 Hierro+ 1 Carbón</t>
  </si>
  <si>
    <t>Exóticos = 1 Ind + 6 $</t>
  </si>
  <si>
    <t>Coste</t>
  </si>
  <si>
    <t>Probabilidad de éxito</t>
  </si>
  <si>
    <t>% Increm.</t>
  </si>
  <si>
    <t>Si</t>
  </si>
  <si>
    <t>¿FFCC?</t>
  </si>
  <si>
    <t>FFCC</t>
  </si>
  <si>
    <t>Años</t>
  </si>
  <si>
    <t>IP</t>
  </si>
  <si>
    <t>País/Inversión</t>
  </si>
  <si>
    <t>¿Invertir?</t>
  </si>
  <si>
    <t>Inversión</t>
  </si>
  <si>
    <t>Tecnología</t>
  </si>
  <si>
    <t>Inicio</t>
  </si>
  <si>
    <t>Fin</t>
  </si>
  <si>
    <t>Sintéticos I</t>
  </si>
  <si>
    <t>IP Disponible</t>
  </si>
  <si>
    <t>Bienes/IP</t>
  </si>
  <si>
    <t>Efectivo</t>
  </si>
  <si>
    <t>Industria</t>
  </si>
  <si>
    <t>Balance efectivo</t>
  </si>
  <si>
    <t>Gastos</t>
  </si>
  <si>
    <t>Marina</t>
  </si>
  <si>
    <t>Ejercito</t>
  </si>
  <si>
    <t>Equipamiento Ejercito</t>
  </si>
  <si>
    <t xml:space="preserve"> (hasta 8 puntos por línea)</t>
  </si>
  <si>
    <t>Linea 1</t>
  </si>
  <si>
    <t>Linea 2</t>
  </si>
  <si>
    <t>Linea 3</t>
  </si>
  <si>
    <t>Linea 4</t>
  </si>
  <si>
    <t>AL</t>
  </si>
  <si>
    <t>AM</t>
  </si>
  <si>
    <t>Tec</t>
  </si>
  <si>
    <t>AC</t>
  </si>
  <si>
    <t>AA</t>
  </si>
  <si>
    <t>Puntos usados</t>
  </si>
  <si>
    <t>(AM) Ametralladoras D</t>
  </si>
  <si>
    <t>(AC) Artillería de Campaña D</t>
  </si>
  <si>
    <t>(AA) Artilería de Asedio D</t>
  </si>
  <si>
    <t>(Cr) Cruceros D</t>
  </si>
  <si>
    <t>(Su) Submarinos D</t>
  </si>
  <si>
    <t>Inf Reg</t>
  </si>
  <si>
    <t>Inf Res</t>
  </si>
  <si>
    <t>Art Campaña</t>
  </si>
  <si>
    <t>Art Asedio</t>
  </si>
  <si>
    <t>Fza Laboral</t>
  </si>
  <si>
    <t>Coste reclutamiento personal básico por unidad</t>
  </si>
  <si>
    <t>Total Módulos Navales</t>
  </si>
  <si>
    <t>Nueva Construcción</t>
  </si>
  <si>
    <t>Tamaño</t>
  </si>
  <si>
    <t>Cantidad</t>
  </si>
  <si>
    <t>Módulos usados</t>
  </si>
  <si>
    <t>Acorazado</t>
  </si>
  <si>
    <t>Crucero</t>
  </si>
  <si>
    <t>Destructor</t>
  </si>
  <si>
    <t>Cañonera</t>
  </si>
  <si>
    <t>Submarino</t>
  </si>
  <si>
    <t>Transporte</t>
  </si>
  <si>
    <t>Dique seco</t>
  </si>
  <si>
    <t>Años por completar</t>
  </si>
  <si>
    <t>Instalaciones Militares:</t>
  </si>
  <si>
    <t>Tipo</t>
  </si>
  <si>
    <t>Localización</t>
  </si>
  <si>
    <t>Otros gastos</t>
  </si>
  <si>
    <t>Descripción</t>
  </si>
  <si>
    <t>Coste ($)</t>
  </si>
  <si>
    <t>Fuerte</t>
  </si>
  <si>
    <t>Fortaleza</t>
  </si>
  <si>
    <t>Puerto</t>
  </si>
  <si>
    <t>Astillero</t>
  </si>
  <si>
    <t>Inf res</t>
  </si>
  <si>
    <t>Información Militar</t>
  </si>
  <si>
    <t>Info Ejército</t>
  </si>
  <si>
    <t>Total Mantenimiento Militar:</t>
  </si>
  <si>
    <t>Ejerc</t>
  </si>
  <si>
    <t>Fza Lab</t>
  </si>
  <si>
    <t>Instalaciones</t>
  </si>
  <si>
    <t>Eficiencia Militar</t>
  </si>
  <si>
    <t>Cuerpo Voluntarios:</t>
  </si>
  <si>
    <t xml:space="preserve">Mobilization: </t>
  </si>
  <si>
    <t>Entrenamiento Ejercito</t>
  </si>
  <si>
    <t>Notas</t>
  </si>
  <si>
    <t>Regulares</t>
  </si>
  <si>
    <t>Reserva</t>
  </si>
  <si>
    <t xml:space="preserve">Costes de mobilización anual </t>
  </si>
  <si>
    <t>Guerra Total</t>
  </si>
  <si>
    <t>Conflicto Transfonterizo</t>
  </si>
  <si>
    <t>Expediciones coloniales</t>
  </si>
  <si>
    <t>Ac</t>
  </si>
  <si>
    <t>Cr</t>
  </si>
  <si>
    <t>Su</t>
  </si>
  <si>
    <t>Destruc</t>
  </si>
  <si>
    <t>Coste Entrenamiento Naval</t>
  </si>
  <si>
    <t>Coste de Entrenamiento Ejército:</t>
  </si>
  <si>
    <t>Modulos Navales</t>
  </si>
  <si>
    <t>Mant. Marina</t>
  </si>
  <si>
    <t>Entrenamiento Marina</t>
  </si>
  <si>
    <t>Pais</t>
  </si>
  <si>
    <t>Puertos</t>
  </si>
  <si>
    <t>Otros</t>
  </si>
  <si>
    <t>Astilleros</t>
  </si>
  <si>
    <t>Fuertes</t>
  </si>
  <si>
    <t>Fortalezas</t>
  </si>
  <si>
    <t>Metropoli</t>
  </si>
  <si>
    <t>No factorizado automáticamente - deberá ser adquirido en la linea correspondiente de comercio.</t>
  </si>
  <si>
    <t>Aportan</t>
  </si>
  <si>
    <t>Necesitan</t>
  </si>
  <si>
    <t>Dispone</t>
  </si>
  <si>
    <t>Necesita</t>
  </si>
  <si>
    <t>Recurso</t>
  </si>
  <si>
    <t>Proyecto</t>
  </si>
  <si>
    <t>Ingresa</t>
  </si>
  <si>
    <t>Economía</t>
  </si>
  <si>
    <t>Comercio y producción</t>
  </si>
  <si>
    <t>Recursos</t>
  </si>
  <si>
    <t>Existentes</t>
  </si>
  <si>
    <t>Disponibles</t>
  </si>
  <si>
    <t>Inversiones disponibles</t>
  </si>
  <si>
    <t>Investigaciones tecnológicas</t>
  </si>
  <si>
    <t>Inversiones en recursos</t>
  </si>
  <si>
    <t>Inversiones infraestructuras</t>
  </si>
  <si>
    <t>Inversiones otros paises (Necesario el permiso del país soberano)</t>
  </si>
  <si>
    <t>Construcción de armamento y unidades militares</t>
  </si>
  <si>
    <t>Info Naval</t>
  </si>
  <si>
    <t>Info Inst Militares</t>
  </si>
  <si>
    <t>Colonias, Mercados e Inversiones Cautivas</t>
  </si>
  <si>
    <t>% Base</t>
  </si>
  <si>
    <t>Francia</t>
  </si>
  <si>
    <t>Muy Lenta</t>
  </si>
  <si>
    <t>Exóticos en Indochina, Martinica, Senegal y Costa de Marfil.</t>
  </si>
  <si>
    <t>Materias Primas</t>
  </si>
  <si>
    <t>Indochina</t>
  </si>
  <si>
    <t>5000 Men</t>
  </si>
  <si>
    <t>Madagascar</t>
  </si>
  <si>
    <t>Kwangchow,China</t>
  </si>
  <si>
    <t>Congo Francés</t>
  </si>
  <si>
    <t>Africa Norte</t>
  </si>
  <si>
    <t>Africa Oeste</t>
  </si>
  <si>
    <t>Buena</t>
  </si>
  <si>
    <t>7,5 sem</t>
  </si>
  <si>
    <t>Atlantico</t>
  </si>
  <si>
    <t>Mediterraneo</t>
  </si>
  <si>
    <t>Índico</t>
  </si>
  <si>
    <t>Caribe</t>
  </si>
  <si>
    <t>Extremo Oriente</t>
  </si>
  <si>
    <t xml:space="preserve">Brest, Bourdeau, La Havre, Cherbourg (Atlantico), Marseilles, Toulon (Med.) </t>
  </si>
  <si>
    <t xml:space="preserve">Caribe: Fort de France (Martinique) </t>
  </si>
  <si>
    <t xml:space="preserve"> Mediterraneo: Tunis, Algiers </t>
  </si>
  <si>
    <t xml:space="preserve">Índico: Reunion, Pondicherry (India), Obok (Somalia) </t>
  </si>
  <si>
    <t xml:space="preserve"> Pacifico: Kwangchow (China), Hue (Indochina), Noumea (Nueva Caledonia) </t>
  </si>
  <si>
    <t>Brest, Bourdeau, La Havre, Cherbourg (Atlantico), Marseilles, Toulon (Med.)</t>
  </si>
  <si>
    <t>Francia: Lyon, Reims, Verdun, Toul, La Fere, Epinal, Belfort, Grenoble, Becancon, Bourdeau, Cherbourg, Le Havre 
Africa: Algiers, Tunis, Dakar</t>
  </si>
  <si>
    <t>Paris, Brest, Toulon</t>
  </si>
  <si>
    <t>Hue-Kumming (Indochina)</t>
  </si>
  <si>
    <t>India</t>
  </si>
  <si>
    <t>Martinica/Guadalupe</t>
  </si>
  <si>
    <t>Guayana Francesa</t>
  </si>
  <si>
    <t>Algeria</t>
  </si>
  <si>
    <t>Tunez</t>
  </si>
  <si>
    <t>Senegal</t>
  </si>
  <si>
    <t>Guayana Africana Francesa</t>
  </si>
  <si>
    <t>Dahomey</t>
  </si>
  <si>
    <t>Costa de Marfil</t>
  </si>
  <si>
    <t>Isla Comoro</t>
  </si>
  <si>
    <t>Nueva Caledonia</t>
  </si>
  <si>
    <t>Somalia Francesa</t>
  </si>
  <si>
    <t>China</t>
  </si>
  <si>
    <t>Exótico 1</t>
  </si>
  <si>
    <t>Exótico 2</t>
  </si>
  <si>
    <t>Materia Prima</t>
  </si>
  <si>
    <t>Exótico</t>
  </si>
  <si>
    <t>Costa Marfil</t>
  </si>
  <si>
    <t>Expansión Ferroviaria I</t>
  </si>
  <si>
    <t>Pointe Noire-Brazzaville</t>
  </si>
  <si>
    <t>(Ac) Acorazados C</t>
  </si>
  <si>
    <t>Atlantico Sur: Dakar, Cayenne (Guayana Francesa) , Pointe-Noire(Congo Francés)</t>
  </si>
  <si>
    <t>Ver colonia</t>
  </si>
  <si>
    <t>Dakar-Bamako (Africa Oeste)</t>
  </si>
  <si>
    <t>Bélgica (hasta 1899)</t>
  </si>
  <si>
    <t>Argentina (hasta 1897)</t>
  </si>
  <si>
    <t>España (hasta 1898)</t>
  </si>
  <si>
    <t>(AL) Armas Ligeras C</t>
  </si>
  <si>
    <t>Ver Colonia</t>
  </si>
  <si>
    <t>Tombuctú</t>
  </si>
  <si>
    <t>3 Industrias en Bélgica, 1 en Congo Francés.</t>
  </si>
  <si>
    <t>(BM) Buques Menores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</si>
</sst>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2" formatCode="_(&quot;$&quot;* #,##0_);_(&quot;$&quot;* \(#,##0\);_(&quot;$&quot;* &quot;-&quot;_);_(@_)"/>
    <numFmt numFmtId="164" formatCode="_-* #,##0.00\ &quot;€&quot;_-;\-* #,##0.00\ &quot;€&quot;_-;_-* &quot;-&quot;??\ &quot;€&quot;_-;_-@_-"/>
    <numFmt numFmtId="165" formatCode="&quot;$&quot;#,##0"/>
    <numFmt numFmtId="166" formatCode="0.0"/>
    <numFmt numFmtId="167" formatCode="0_);[Red]\(0\)"/>
    <numFmt numFmtId="168" formatCode="_-* #,##0\ &quot;€&quot;_-;\-* #,##0\ &quot;€&quot;_-;_-* &quot;-&quot;??\ &quot;€&quot;_-;_-@_-"/>
  </numFmts>
  <fonts count="18" x14ac:knownFonts="1">
    <font>
      <sz val="10"/>
      <color theme="1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name val="Times New Roman"/>
      <family val="1"/>
    </font>
    <font>
      <sz val="11"/>
      <color rgb="FF000000"/>
      <name val="Arial"/>
      <family val="2"/>
    </font>
    <font>
      <b/>
      <sz val="14"/>
      <color theme="0"/>
      <name val="Times New Roman"/>
      <family val="1"/>
    </font>
    <font>
      <sz val="14"/>
      <color rgb="FF00B05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8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b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</borders>
  <cellStyleXfs count="3">
    <xf numFmtId="0" fontId="0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279">
    <xf numFmtId="0" fontId="0" fillId="0" borderId="0" xfId="0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Fill="1" applyBorder="1" applyAlignment="1">
      <alignment horizontal="center"/>
    </xf>
    <xf numFmtId="6" fontId="2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6" fontId="5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42" fontId="0" fillId="0" borderId="0" xfId="0" applyNumberFormat="1"/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/>
    <xf numFmtId="9" fontId="2" fillId="0" borderId="0" xfId="0" applyNumberFormat="1" applyFont="1" applyFill="1" applyBorder="1" applyAlignment="1">
      <alignment horizontal="center"/>
    </xf>
    <xf numFmtId="6" fontId="2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2" fillId="5" borderId="4" xfId="0" applyFont="1" applyFill="1" applyBorder="1" applyAlignment="1">
      <alignment horizontal="center"/>
    </xf>
    <xf numFmtId="1" fontId="2" fillId="5" borderId="4" xfId="0" applyNumberFormat="1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6" fontId="2" fillId="5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2" fontId="1" fillId="5" borderId="4" xfId="0" applyNumberFormat="1" applyFont="1" applyFill="1" applyBorder="1" applyAlignment="1">
      <alignment horizontal="center"/>
    </xf>
    <xf numFmtId="165" fontId="1" fillId="5" borderId="4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1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right"/>
    </xf>
    <xf numFmtId="165" fontId="1" fillId="5" borderId="16" xfId="0" applyNumberFormat="1" applyFont="1" applyFill="1" applyBorder="1" applyAlignment="1">
      <alignment horizontal="center"/>
    </xf>
    <xf numFmtId="3" fontId="1" fillId="5" borderId="16" xfId="0" applyNumberFormat="1" applyFont="1" applyFill="1" applyBorder="1" applyAlignment="1">
      <alignment horizontal="center"/>
    </xf>
    <xf numFmtId="6" fontId="1" fillId="5" borderId="4" xfId="0" applyNumberFormat="1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 wrapText="1"/>
    </xf>
    <xf numFmtId="0" fontId="1" fillId="5" borderId="20" xfId="0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center" wrapText="1"/>
    </xf>
    <xf numFmtId="0" fontId="1" fillId="5" borderId="20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6" fillId="5" borderId="20" xfId="0" applyFont="1" applyFill="1" applyBorder="1" applyAlignment="1">
      <alignment horizontal="center" wrapText="1"/>
    </xf>
    <xf numFmtId="0" fontId="16" fillId="5" borderId="19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/>
    </xf>
    <xf numFmtId="165" fontId="1" fillId="5" borderId="9" xfId="0" applyNumberFormat="1" applyFont="1" applyFill="1" applyBorder="1" applyAlignment="1">
      <alignment horizontal="center"/>
    </xf>
    <xf numFmtId="168" fontId="2" fillId="5" borderId="4" xfId="0" applyNumberFormat="1" applyFont="1" applyFill="1" applyBorder="1" applyAlignment="1">
      <alignment horizontal="left" indent="1"/>
    </xf>
    <xf numFmtId="168" fontId="2" fillId="5" borderId="12" xfId="0" applyNumberFormat="1" applyFont="1" applyFill="1" applyBorder="1" applyAlignment="1"/>
    <xf numFmtId="42" fontId="0" fillId="5" borderId="12" xfId="0" applyNumberFormat="1" applyFill="1" applyBorder="1"/>
    <xf numFmtId="0" fontId="0" fillId="5" borderId="0" xfId="0" applyFill="1"/>
    <xf numFmtId="0" fontId="0" fillId="5" borderId="12" xfId="0" applyFill="1" applyBorder="1"/>
    <xf numFmtId="168" fontId="0" fillId="5" borderId="12" xfId="1" applyNumberFormat="1" applyFont="1" applyFill="1" applyBorder="1"/>
    <xf numFmtId="0" fontId="0" fillId="5" borderId="28" xfId="0" applyFill="1" applyBorder="1" applyAlignment="1">
      <alignment horizontal="center"/>
    </xf>
    <xf numFmtId="0" fontId="0" fillId="5" borderId="29" xfId="0" applyFill="1" applyBorder="1"/>
    <xf numFmtId="0" fontId="0" fillId="5" borderId="30" xfId="0" applyFill="1" applyBorder="1" applyAlignment="1">
      <alignment horizontal="center"/>
    </xf>
    <xf numFmtId="0" fontId="0" fillId="5" borderId="32" xfId="0" applyFill="1" applyBorder="1"/>
    <xf numFmtId="0" fontId="1" fillId="0" borderId="0" xfId="0" applyFont="1" applyFill="1" applyAlignment="1"/>
    <xf numFmtId="0" fontId="17" fillId="0" borderId="0" xfId="0" applyFont="1" applyFill="1" applyAlignment="1"/>
    <xf numFmtId="0" fontId="17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2" fontId="2" fillId="5" borderId="4" xfId="0" applyNumberFormat="1" applyFont="1" applyFill="1" applyBorder="1" applyAlignment="1" applyProtection="1">
      <alignment horizontal="center"/>
    </xf>
    <xf numFmtId="165" fontId="2" fillId="5" borderId="4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165" fontId="2" fillId="0" borderId="0" xfId="0" applyNumberFormat="1" applyFont="1" applyFill="1" applyBorder="1" applyAlignment="1" applyProtection="1">
      <alignment horizontal="center"/>
    </xf>
    <xf numFmtId="6" fontId="2" fillId="0" borderId="0" xfId="0" applyNumberFormat="1" applyFont="1" applyFill="1" applyBorder="1" applyAlignment="1" applyProtection="1">
      <alignment horizontal="center"/>
    </xf>
    <xf numFmtId="9" fontId="2" fillId="5" borderId="4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/>
    </xf>
    <xf numFmtId="0" fontId="2" fillId="5" borderId="16" xfId="0" applyFont="1" applyFill="1" applyBorder="1" applyAlignment="1" applyProtection="1">
      <alignment horizontal="center"/>
    </xf>
    <xf numFmtId="165" fontId="2" fillId="5" borderId="16" xfId="0" applyNumberFormat="1" applyFont="1" applyFill="1" applyBorder="1" applyAlignment="1" applyProtection="1">
      <alignment horizontal="center"/>
    </xf>
    <xf numFmtId="1" fontId="2" fillId="5" borderId="4" xfId="0" applyNumberFormat="1" applyFont="1" applyFill="1" applyBorder="1" applyAlignment="1" applyProtection="1">
      <alignment horizontal="center"/>
    </xf>
    <xf numFmtId="0" fontId="12" fillId="5" borderId="18" xfId="0" applyFont="1" applyFill="1" applyBorder="1" applyAlignment="1" applyProtection="1">
      <alignment horizontal="center"/>
    </xf>
    <xf numFmtId="1" fontId="2" fillId="5" borderId="18" xfId="0" applyNumberFormat="1" applyFont="1" applyFill="1" applyBorder="1" applyAlignment="1" applyProtection="1">
      <alignment horizontal="center"/>
    </xf>
    <xf numFmtId="0" fontId="2" fillId="5" borderId="18" xfId="0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left"/>
    </xf>
    <xf numFmtId="1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167" fontId="2" fillId="5" borderId="4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Alignment="1" applyProtection="1">
      <alignment horizontal="center"/>
    </xf>
    <xf numFmtId="0" fontId="2" fillId="5" borderId="12" xfId="0" applyFont="1" applyFill="1" applyBorder="1" applyAlignment="1" applyProtection="1">
      <alignment horizontal="center"/>
    </xf>
    <xf numFmtId="0" fontId="2" fillId="5" borderId="21" xfId="0" applyFont="1" applyFill="1" applyBorder="1" applyAlignment="1" applyProtection="1">
      <alignment horizontal="center"/>
    </xf>
    <xf numFmtId="0" fontId="2" fillId="5" borderId="13" xfId="0" applyFont="1" applyFill="1" applyBorder="1" applyAlignment="1" applyProtection="1">
      <alignment horizontal="center"/>
    </xf>
    <xf numFmtId="167" fontId="2" fillId="5" borderId="15" xfId="0" applyNumberFormat="1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7" fontId="2" fillId="0" borderId="0" xfId="0" applyNumberFormat="1" applyFont="1" applyFill="1" applyAlignment="1" applyProtection="1">
      <alignment horizontal="center"/>
    </xf>
    <xf numFmtId="6" fontId="2" fillId="5" borderId="4" xfId="0" applyNumberFormat="1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12" fillId="0" borderId="0" xfId="0" applyFont="1" applyFill="1" applyAlignment="1" applyProtection="1"/>
    <xf numFmtId="0" fontId="2" fillId="0" borderId="0" xfId="0" applyFont="1" applyFill="1" applyAlignment="1" applyProtection="1"/>
    <xf numFmtId="0" fontId="11" fillId="0" borderId="0" xfId="0" applyFont="1" applyFill="1" applyAlignment="1" applyProtection="1">
      <alignment horizontal="left"/>
    </xf>
    <xf numFmtId="0" fontId="2" fillId="5" borderId="15" xfId="0" applyFont="1" applyFill="1" applyBorder="1" applyAlignment="1" applyProtection="1">
      <alignment horizontal="center"/>
    </xf>
    <xf numFmtId="165" fontId="2" fillId="5" borderId="15" xfId="0" applyNumberFormat="1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left"/>
    </xf>
    <xf numFmtId="0" fontId="11" fillId="0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12" fillId="0" borderId="0" xfId="0" applyFont="1" applyFill="1" applyAlignment="1" applyProtection="1">
      <alignment horizontal="center"/>
    </xf>
    <xf numFmtId="0" fontId="2" fillId="5" borderId="24" xfId="0" applyFont="1" applyFill="1" applyBorder="1" applyAlignment="1" applyProtection="1">
      <alignment horizontal="center"/>
    </xf>
    <xf numFmtId="165" fontId="2" fillId="5" borderId="24" xfId="0" applyNumberFormat="1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right"/>
    </xf>
    <xf numFmtId="0" fontId="2" fillId="5" borderId="5" xfId="0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2" fillId="5" borderId="6" xfId="0" applyFont="1" applyFill="1" applyBorder="1" applyAlignment="1" applyProtection="1">
      <alignment horizontal="center"/>
    </xf>
    <xf numFmtId="0" fontId="2" fillId="5" borderId="8" xfId="0" applyFont="1" applyFill="1" applyBorder="1" applyAlignment="1" applyProtection="1">
      <alignment horizontal="center"/>
    </xf>
    <xf numFmtId="0" fontId="2" fillId="0" borderId="0" xfId="0" quotePrefix="1" applyFont="1" applyFill="1" applyAlignment="1" applyProtection="1">
      <alignment horizontal="left"/>
    </xf>
    <xf numFmtId="0" fontId="2" fillId="0" borderId="1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5" borderId="4" xfId="0" applyFont="1" applyFill="1" applyBorder="1" applyProtection="1"/>
    <xf numFmtId="0" fontId="2" fillId="5" borderId="4" xfId="0" applyFont="1" applyFill="1" applyBorder="1" applyAlignment="1" applyProtection="1"/>
    <xf numFmtId="0" fontId="2" fillId="0" borderId="0" xfId="0" quotePrefix="1" applyFont="1" applyFill="1" applyAlignment="1" applyProtection="1">
      <alignment horizontal="center"/>
    </xf>
    <xf numFmtId="0" fontId="2" fillId="3" borderId="12" xfId="0" applyFont="1" applyFill="1" applyBorder="1" applyAlignment="1" applyProtection="1">
      <alignment horizontal="left" vertical="center"/>
      <protection locked="0"/>
    </xf>
    <xf numFmtId="167" fontId="2" fillId="3" borderId="12" xfId="0" applyNumberFormat="1" applyFont="1" applyFill="1" applyBorder="1" applyAlignment="1" applyProtection="1">
      <alignment horizontal="center"/>
      <protection locked="0"/>
    </xf>
    <xf numFmtId="167" fontId="2" fillId="3" borderId="13" xfId="0" applyNumberFormat="1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1" fillId="5" borderId="4" xfId="0" applyFont="1" applyFill="1" applyBorder="1" applyAlignment="1">
      <alignment horizontal="center"/>
    </xf>
    <xf numFmtId="0" fontId="2" fillId="5" borderId="12" xfId="0" applyFont="1" applyFill="1" applyBorder="1" applyAlignment="1"/>
    <xf numFmtId="6" fontId="2" fillId="5" borderId="12" xfId="0" applyNumberFormat="1" applyFont="1" applyFill="1" applyBorder="1" applyAlignment="1">
      <alignment horizontal="center"/>
    </xf>
    <xf numFmtId="9" fontId="2" fillId="5" borderId="12" xfId="2" applyFont="1" applyFill="1" applyBorder="1" applyAlignment="1">
      <alignment horizontal="center"/>
    </xf>
    <xf numFmtId="167" fontId="2" fillId="3" borderId="4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6" fontId="2" fillId="3" borderId="4" xfId="0" applyNumberFormat="1" applyFont="1" applyFill="1" applyBorder="1" applyAlignment="1" applyProtection="1">
      <alignment horizontal="center"/>
      <protection locked="0"/>
    </xf>
    <xf numFmtId="1" fontId="5" fillId="3" borderId="4" xfId="0" applyNumberFormat="1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6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165" fontId="1" fillId="5" borderId="10" xfId="0" applyNumberFormat="1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right"/>
    </xf>
    <xf numFmtId="0" fontId="1" fillId="5" borderId="29" xfId="0" applyFont="1" applyFill="1" applyBorder="1" applyAlignment="1">
      <alignment horizontal="center"/>
    </xf>
    <xf numFmtId="0" fontId="0" fillId="5" borderId="2" xfId="0" applyFill="1" applyBorder="1" applyAlignment="1">
      <alignment vertical="top"/>
    </xf>
    <xf numFmtId="0" fontId="0" fillId="5" borderId="7" xfId="0" applyFill="1" applyBorder="1" applyAlignment="1">
      <alignment vertical="top"/>
    </xf>
    <xf numFmtId="0" fontId="0" fillId="5" borderId="8" xfId="0" applyFill="1" applyBorder="1" applyAlignment="1">
      <alignment vertical="top"/>
    </xf>
    <xf numFmtId="165" fontId="1" fillId="5" borderId="28" xfId="0" applyNumberFormat="1" applyFont="1" applyFill="1" applyBorder="1" applyAlignment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  <protection locked="0"/>
    </xf>
    <xf numFmtId="168" fontId="0" fillId="5" borderId="31" xfId="1" applyNumberFormat="1" applyFont="1" applyFill="1" applyBorder="1"/>
    <xf numFmtId="0" fontId="2" fillId="5" borderId="4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center"/>
    </xf>
    <xf numFmtId="42" fontId="0" fillId="5" borderId="0" xfId="0" applyNumberFormat="1" applyFill="1" applyBorder="1"/>
    <xf numFmtId="42" fontId="0" fillId="5" borderId="12" xfId="0" applyNumberFormat="1" applyFill="1" applyBorder="1" applyAlignment="1">
      <alignment horizontal="center"/>
    </xf>
    <xf numFmtId="6" fontId="0" fillId="5" borderId="12" xfId="0" applyNumberFormat="1" applyFill="1" applyBorder="1" applyAlignment="1">
      <alignment horizontal="center"/>
    </xf>
    <xf numFmtId="0" fontId="2" fillId="5" borderId="9" xfId="0" applyFont="1" applyFill="1" applyBorder="1" applyAlignment="1" applyProtection="1">
      <alignment horizontal="center"/>
    </xf>
    <xf numFmtId="0" fontId="2" fillId="5" borderId="10" xfId="0" applyFont="1" applyFill="1" applyBorder="1" applyAlignment="1" applyProtection="1">
      <alignment horizontal="center"/>
    </xf>
    <xf numFmtId="0" fontId="2" fillId="5" borderId="11" xfId="0" applyFont="1" applyFill="1" applyBorder="1" applyAlignment="1" applyProtection="1">
      <alignment horizontal="center"/>
    </xf>
    <xf numFmtId="0" fontId="12" fillId="6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wrapText="1"/>
    </xf>
    <xf numFmtId="0" fontId="2" fillId="5" borderId="16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1" fillId="5" borderId="14" xfId="0" applyFont="1" applyFill="1" applyBorder="1" applyAlignment="1" applyProtection="1">
      <alignment horizontal="center" vertical="center" wrapText="1"/>
    </xf>
    <xf numFmtId="0" fontId="1" fillId="5" borderId="15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wrapText="1"/>
    </xf>
    <xf numFmtId="0" fontId="2" fillId="5" borderId="8" xfId="0" applyFont="1" applyFill="1" applyBorder="1" applyAlignment="1" applyProtection="1">
      <alignment horizontal="center" wrapText="1"/>
    </xf>
    <xf numFmtId="0" fontId="1" fillId="5" borderId="14" xfId="0" applyFont="1" applyFill="1" applyBorder="1" applyAlignment="1" applyProtection="1">
      <alignment horizontal="center" vertical="center"/>
    </xf>
    <xf numFmtId="0" fontId="1" fillId="5" borderId="15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wrapText="1"/>
    </xf>
    <xf numFmtId="0" fontId="2" fillId="5" borderId="7" xfId="0" applyFont="1" applyFill="1" applyBorder="1" applyAlignment="1" applyProtection="1">
      <alignment horizontal="center" wrapText="1"/>
    </xf>
    <xf numFmtId="0" fontId="2" fillId="3" borderId="9" xfId="0" applyFont="1" applyFill="1" applyBorder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2" fillId="3" borderId="11" xfId="0" applyFont="1" applyFill="1" applyBorder="1" applyAlignment="1" applyProtection="1">
      <alignment horizontal="left" vertical="center" wrapText="1"/>
      <protection locked="0"/>
    </xf>
    <xf numFmtId="0" fontId="2" fillId="5" borderId="14" xfId="0" applyFont="1" applyFill="1" applyBorder="1" applyAlignment="1" applyProtection="1">
      <alignment horizontal="center" vertical="center"/>
    </xf>
    <xf numFmtId="0" fontId="2" fillId="5" borderId="15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2" fillId="3" borderId="11" xfId="0" applyFont="1" applyFill="1" applyBorder="1" applyAlignment="1" applyProtection="1">
      <alignment horizontal="left" vertical="center"/>
      <protection locked="0"/>
    </xf>
    <xf numFmtId="0" fontId="2" fillId="3" borderId="9" xfId="0" applyFont="1" applyFill="1" applyBorder="1" applyAlignment="1" applyProtection="1">
      <alignment horizontal="left"/>
      <protection locked="0"/>
    </xf>
    <xf numFmtId="0" fontId="2" fillId="3" borderId="10" xfId="0" applyFont="1" applyFill="1" applyBorder="1" applyAlignment="1" applyProtection="1">
      <alignment horizontal="left"/>
      <protection locked="0"/>
    </xf>
    <xf numFmtId="0" fontId="2" fillId="3" borderId="11" xfId="0" applyFont="1" applyFill="1" applyBorder="1" applyAlignment="1" applyProtection="1">
      <alignment horizontal="left"/>
      <protection locked="0"/>
    </xf>
    <xf numFmtId="0" fontId="1" fillId="5" borderId="4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 wrapText="1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7" xfId="0" applyFont="1" applyFill="1" applyBorder="1" applyAlignment="1">
      <alignment horizontal="left" vertical="top" wrapText="1"/>
    </xf>
    <xf numFmtId="0" fontId="1" fillId="5" borderId="8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5" borderId="6" xfId="0" applyFill="1" applyBorder="1" applyAlignment="1">
      <alignment horizontal="left" vertical="top"/>
    </xf>
    <xf numFmtId="0" fontId="0" fillId="5" borderId="2" xfId="0" applyFill="1" applyBorder="1" applyAlignment="1">
      <alignment horizontal="left" vertical="top"/>
    </xf>
    <xf numFmtId="0" fontId="0" fillId="5" borderId="7" xfId="0" applyFill="1" applyBorder="1" applyAlignment="1">
      <alignment horizontal="left" vertical="top"/>
    </xf>
    <xf numFmtId="0" fontId="0" fillId="5" borderId="8" xfId="0" applyFill="1" applyBorder="1" applyAlignment="1">
      <alignment horizontal="left" vertical="top"/>
    </xf>
    <xf numFmtId="0" fontId="1" fillId="5" borderId="14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left"/>
    </xf>
    <xf numFmtId="0" fontId="0" fillId="5" borderId="33" xfId="0" applyFill="1" applyBorder="1" applyAlignment="1">
      <alignment horizontal="left"/>
    </xf>
    <xf numFmtId="0" fontId="0" fillId="5" borderId="36" xfId="0" applyFill="1" applyBorder="1" applyAlignment="1">
      <alignment horizontal="left"/>
    </xf>
    <xf numFmtId="0" fontId="1" fillId="5" borderId="40" xfId="0" applyFont="1" applyFill="1" applyBorder="1" applyAlignment="1">
      <alignment horizontal="left"/>
    </xf>
    <xf numFmtId="0" fontId="1" fillId="5" borderId="41" xfId="0" applyFont="1" applyFill="1" applyBorder="1" applyAlignment="1">
      <alignment horizontal="left"/>
    </xf>
    <xf numFmtId="0" fontId="1" fillId="5" borderId="42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center" wrapText="1"/>
    </xf>
    <xf numFmtId="0" fontId="1" fillId="5" borderId="22" xfId="0" applyFont="1" applyFill="1" applyBorder="1" applyAlignment="1">
      <alignment horizontal="center" wrapText="1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left"/>
    </xf>
    <xf numFmtId="0" fontId="1" fillId="5" borderId="38" xfId="0" applyFont="1" applyFill="1" applyBorder="1" applyAlignment="1">
      <alignment horizontal="left"/>
    </xf>
    <xf numFmtId="0" fontId="1" fillId="5" borderId="39" xfId="0" applyFont="1" applyFill="1" applyBorder="1" applyAlignment="1">
      <alignment horizontal="left"/>
    </xf>
    <xf numFmtId="0" fontId="17" fillId="6" borderId="0" xfId="0" applyFont="1" applyFill="1" applyAlignment="1">
      <alignment horizontal="center"/>
    </xf>
    <xf numFmtId="0" fontId="1" fillId="5" borderId="2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5" borderId="2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 wrapText="1"/>
    </xf>
    <xf numFmtId="0" fontId="1" fillId="5" borderId="0" xfId="0" applyFont="1" applyFill="1" applyBorder="1" applyAlignment="1">
      <alignment horizontal="left" wrapText="1"/>
    </xf>
    <xf numFmtId="0" fontId="1" fillId="5" borderId="2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0" fillId="5" borderId="12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5"/>
  <sheetViews>
    <sheetView showGridLines="0" tabSelected="1" zoomScale="75" zoomScaleNormal="75" workbookViewId="0">
      <selection activeCell="J23" sqref="J23"/>
    </sheetView>
  </sheetViews>
  <sheetFormatPr defaultColWidth="9.1328125" defaultRowHeight="17.649999999999999" x14ac:dyDescent="0.5"/>
  <cols>
    <col min="1" max="1" width="48.53125" style="84" customWidth="1"/>
    <col min="2" max="2" width="12.53125" style="84" customWidth="1"/>
    <col min="3" max="3" width="16.3984375" style="84" bestFit="1" customWidth="1"/>
    <col min="4" max="4" width="12.33203125" style="84" bestFit="1" customWidth="1"/>
    <col min="5" max="5" width="12" style="84" bestFit="1" customWidth="1"/>
    <col min="6" max="6" width="21.6640625" style="84" customWidth="1"/>
    <col min="7" max="7" width="11.6640625" style="84" customWidth="1"/>
    <col min="8" max="8" width="11" style="84" customWidth="1"/>
    <col min="9" max="9" width="12.86328125" style="84" customWidth="1"/>
    <col min="10" max="10" width="10.33203125" style="84" customWidth="1"/>
    <col min="11" max="11" width="12.1328125" style="84" customWidth="1"/>
    <col min="12" max="15" width="9.1328125" style="84"/>
    <col min="16" max="16" width="10.86328125" style="84" bestFit="1" customWidth="1"/>
    <col min="17" max="16384" width="9.1328125" style="84"/>
  </cols>
  <sheetData>
    <row r="1" spans="1:18" x14ac:dyDescent="0.5">
      <c r="A1" s="194" t="s">
        <v>231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8" ht="18" thickBot="1" x14ac:dyDescent="0.55000000000000004">
      <c r="A2" s="85" t="s">
        <v>9</v>
      </c>
      <c r="B2" s="85" t="s">
        <v>62</v>
      </c>
    </row>
    <row r="3" spans="1:18" ht="18" thickBot="1" x14ac:dyDescent="0.55000000000000004">
      <c r="A3" s="86" t="s">
        <v>64</v>
      </c>
      <c r="B3" s="86" t="s">
        <v>246</v>
      </c>
      <c r="G3" s="86" t="s">
        <v>79</v>
      </c>
      <c r="H3" s="86">
        <v>1896</v>
      </c>
    </row>
    <row r="4" spans="1:18" ht="18" thickBot="1" x14ac:dyDescent="0.55000000000000004">
      <c r="A4" s="86" t="s">
        <v>65</v>
      </c>
      <c r="B4" s="86">
        <v>38.01</v>
      </c>
      <c r="C4" s="87"/>
      <c r="G4" s="86" t="s">
        <v>80</v>
      </c>
      <c r="H4" s="86" t="s">
        <v>247</v>
      </c>
    </row>
    <row r="5" spans="1:18" ht="18" thickBot="1" x14ac:dyDescent="0.55000000000000004">
      <c r="A5" s="86" t="s">
        <v>66</v>
      </c>
      <c r="B5" s="88">
        <f>B4-Militar!P12</f>
        <v>27.79</v>
      </c>
      <c r="D5" s="185"/>
    </row>
    <row r="6" spans="1:18" ht="18" thickBot="1" x14ac:dyDescent="0.55000000000000004">
      <c r="A6" s="86" t="s">
        <v>67</v>
      </c>
      <c r="B6" s="86" t="s">
        <v>73</v>
      </c>
      <c r="D6" s="185"/>
    </row>
    <row r="7" spans="1:18" ht="18" thickBot="1" x14ac:dyDescent="0.55000000000000004">
      <c r="A7" s="191" t="s">
        <v>68</v>
      </c>
      <c r="B7" s="193"/>
      <c r="G7" s="196" t="s">
        <v>81</v>
      </c>
      <c r="H7" s="196"/>
      <c r="I7" s="89">
        <v>0</v>
      </c>
      <c r="J7" s="90"/>
    </row>
    <row r="8" spans="1:18" ht="18" thickBot="1" x14ac:dyDescent="0.55000000000000004">
      <c r="A8" s="86" t="s">
        <v>75</v>
      </c>
      <c r="B8" s="89">
        <f>(VLOOKUP(B6,Econ_chart,5,FALSE))*B5</f>
        <v>319.58499999999998</v>
      </c>
      <c r="C8" s="91"/>
      <c r="D8" s="181"/>
      <c r="G8" s="196" t="s">
        <v>82</v>
      </c>
      <c r="H8" s="196"/>
      <c r="I8" s="89">
        <f>I7*J13</f>
        <v>0</v>
      </c>
      <c r="R8" s="183"/>
    </row>
    <row r="9" spans="1:18" ht="18" thickBot="1" x14ac:dyDescent="0.55000000000000004">
      <c r="A9" s="86" t="s">
        <v>76</v>
      </c>
      <c r="B9" s="89">
        <f>Colonias!C7+Ferrocarriles!D1</f>
        <v>131</v>
      </c>
      <c r="C9" s="91"/>
      <c r="D9" s="181"/>
      <c r="E9" s="184"/>
      <c r="H9" s="86" t="s">
        <v>5</v>
      </c>
      <c r="I9" s="89">
        <f>SUM(I7:I8)</f>
        <v>0</v>
      </c>
      <c r="J9" s="92"/>
    </row>
    <row r="10" spans="1:18" ht="18" thickBot="1" x14ac:dyDescent="0.55000000000000004">
      <c r="A10" s="86" t="s">
        <v>77</v>
      </c>
      <c r="B10" s="89">
        <v>0</v>
      </c>
      <c r="E10" s="184"/>
    </row>
    <row r="11" spans="1:18" ht="18" thickBot="1" x14ac:dyDescent="0.55000000000000004">
      <c r="A11" s="86" t="s">
        <v>78</v>
      </c>
      <c r="B11" s="89">
        <f>Militar!O12</f>
        <v>95</v>
      </c>
      <c r="J11" s="93"/>
      <c r="K11" s="197"/>
    </row>
    <row r="12" spans="1:18" ht="19.5" customHeight="1" thickBot="1" x14ac:dyDescent="0.55000000000000004">
      <c r="A12" s="93"/>
      <c r="B12" s="94"/>
      <c r="C12" s="93"/>
      <c r="D12" s="197"/>
      <c r="G12" s="195"/>
      <c r="H12" s="195"/>
      <c r="I12" s="95"/>
      <c r="J12" s="86" t="s">
        <v>84</v>
      </c>
      <c r="K12" s="197"/>
    </row>
    <row r="13" spans="1:18" ht="18" thickBot="1" x14ac:dyDescent="0.55000000000000004">
      <c r="A13" s="93"/>
      <c r="B13" s="94"/>
      <c r="C13" s="93"/>
      <c r="D13" s="197"/>
      <c r="G13" s="196" t="s">
        <v>83</v>
      </c>
      <c r="H13" s="196"/>
      <c r="I13" s="86" t="s">
        <v>11</v>
      </c>
      <c r="J13" s="96">
        <v>0.15</v>
      </c>
      <c r="K13" s="95"/>
    </row>
    <row r="14" spans="1:18" ht="18" thickBot="1" x14ac:dyDescent="0.55000000000000004">
      <c r="A14" s="93"/>
      <c r="B14" s="94"/>
      <c r="C14" s="97"/>
      <c r="D14" s="95"/>
      <c r="H14" s="93"/>
      <c r="I14" s="95"/>
    </row>
    <row r="15" spans="1:18" ht="18" thickBot="1" x14ac:dyDescent="0.55000000000000004">
      <c r="A15" s="86" t="s">
        <v>103</v>
      </c>
      <c r="B15" s="89">
        <f>B8+B9+B10-B11</f>
        <v>355.58499999999998</v>
      </c>
    </row>
    <row r="17" spans="1:17" x14ac:dyDescent="0.5">
      <c r="A17" s="84" t="s">
        <v>9</v>
      </c>
      <c r="B17" s="84" t="s">
        <v>9</v>
      </c>
    </row>
    <row r="18" spans="1:17" x14ac:dyDescent="0.5">
      <c r="A18" s="194" t="s">
        <v>233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</row>
    <row r="19" spans="1:17" ht="18" thickBot="1" x14ac:dyDescent="0.55000000000000004"/>
    <row r="20" spans="1:17" ht="18.399999999999999" thickTop="1" thickBot="1" x14ac:dyDescent="0.55000000000000004">
      <c r="A20" s="84" t="s">
        <v>9</v>
      </c>
      <c r="B20" s="86" t="s">
        <v>138</v>
      </c>
      <c r="C20" s="86" t="s">
        <v>95</v>
      </c>
      <c r="D20" s="86" t="s">
        <v>102</v>
      </c>
      <c r="E20" s="86" t="s">
        <v>96</v>
      </c>
      <c r="F20" s="86" t="s">
        <v>98</v>
      </c>
      <c r="G20" s="86" t="s">
        <v>99</v>
      </c>
      <c r="I20" s="198" t="s">
        <v>89</v>
      </c>
      <c r="J20" s="198"/>
      <c r="K20" s="198"/>
      <c r="L20" s="198"/>
      <c r="M20" s="198"/>
      <c r="N20" s="198"/>
    </row>
    <row r="21" spans="1:17" ht="18.399999999999999" thickTop="1" thickBot="1" x14ac:dyDescent="0.55000000000000004">
      <c r="A21" s="86" t="s">
        <v>85</v>
      </c>
      <c r="B21" s="86">
        <v>12</v>
      </c>
      <c r="C21" s="86">
        <v>16</v>
      </c>
      <c r="D21" s="86">
        <v>6</v>
      </c>
      <c r="E21" s="86">
        <v>0</v>
      </c>
      <c r="F21" s="86">
        <v>3</v>
      </c>
      <c r="G21" s="86">
        <v>2</v>
      </c>
      <c r="I21" s="98"/>
      <c r="J21" s="98"/>
      <c r="K21" s="198" t="s">
        <v>92</v>
      </c>
      <c r="L21" s="198"/>
      <c r="M21" s="198" t="s">
        <v>93</v>
      </c>
      <c r="N21" s="198"/>
    </row>
    <row r="22" spans="1:17" ht="18.399999999999999" thickTop="1" thickBot="1" x14ac:dyDescent="0.55000000000000004">
      <c r="A22" s="86" t="s">
        <v>86</v>
      </c>
      <c r="B22" s="86">
        <v>4</v>
      </c>
      <c r="C22" s="86">
        <v>0</v>
      </c>
      <c r="D22" s="86">
        <v>0</v>
      </c>
      <c r="E22" s="86">
        <v>4</v>
      </c>
      <c r="F22" s="86">
        <v>0</v>
      </c>
      <c r="G22" s="86">
        <v>0</v>
      </c>
      <c r="I22" s="98"/>
      <c r="J22" s="98" t="s">
        <v>59</v>
      </c>
      <c r="K22" s="98" t="s">
        <v>90</v>
      </c>
      <c r="L22" s="98" t="s">
        <v>91</v>
      </c>
      <c r="M22" s="98" t="s">
        <v>90</v>
      </c>
      <c r="N22" s="98" t="s">
        <v>91</v>
      </c>
    </row>
    <row r="23" spans="1:17" ht="18.399999999999999" thickTop="1" thickBot="1" x14ac:dyDescent="0.55000000000000004">
      <c r="A23" s="86" t="s">
        <v>87</v>
      </c>
      <c r="B23" s="86">
        <f>SUM(B21:B22)</f>
        <v>16</v>
      </c>
      <c r="C23" s="86">
        <f t="shared" ref="C23:G23" si="0">SUM(C21:C22)</f>
        <v>16</v>
      </c>
      <c r="D23" s="86">
        <f t="shared" si="0"/>
        <v>6</v>
      </c>
      <c r="E23" s="86">
        <f t="shared" si="0"/>
        <v>4</v>
      </c>
      <c r="F23" s="86">
        <f t="shared" si="0"/>
        <v>3</v>
      </c>
      <c r="G23" s="86">
        <f t="shared" si="0"/>
        <v>2</v>
      </c>
      <c r="I23" s="98" t="s">
        <v>94</v>
      </c>
      <c r="J23" s="99">
        <v>25</v>
      </c>
      <c r="K23" s="99">
        <f>J23+(J23*0.3)</f>
        <v>32.5</v>
      </c>
      <c r="L23" s="99">
        <f>J23-(J23*0.3)</f>
        <v>17.5</v>
      </c>
      <c r="M23" s="99">
        <f>J23-(J23*0.2)</f>
        <v>20</v>
      </c>
      <c r="N23" s="99">
        <f>J23+(J23*0.2)</f>
        <v>30</v>
      </c>
    </row>
    <row r="24" spans="1:17" ht="18.399999999999999" thickTop="1" thickBot="1" x14ac:dyDescent="0.55000000000000004">
      <c r="A24" s="86" t="s">
        <v>88</v>
      </c>
      <c r="B24" s="100">
        <f>B4/(VLOOKUP(B6,Econ_chart,2,FALSE))</f>
        <v>7.6019999999999994</v>
      </c>
      <c r="C24" s="100">
        <f>ROUNDUP(B4/(VLOOKUP(B6,Econ_chart,3,FALSE)),0)</f>
        <v>17</v>
      </c>
      <c r="D24" s="100">
        <v>0</v>
      </c>
      <c r="E24" s="100">
        <f>ROUNDUP(B4/(VLOOKUP(B6,Econ_chart,4,FALSE)),0)</f>
        <v>8</v>
      </c>
      <c r="F24" s="100">
        <v>0</v>
      </c>
      <c r="G24" s="100">
        <v>0</v>
      </c>
      <c r="I24" s="98" t="s">
        <v>95</v>
      </c>
      <c r="J24" s="99">
        <v>10</v>
      </c>
      <c r="K24" s="99">
        <f t="shared" ref="K24:K29" si="1">J24+(J24*0.3)</f>
        <v>13</v>
      </c>
      <c r="L24" s="99">
        <f t="shared" ref="L24:L29" si="2">J24-(J24*0.3)</f>
        <v>7</v>
      </c>
      <c r="M24" s="99">
        <f t="shared" ref="M24:M29" si="3">J24-(J24*0.2)</f>
        <v>8</v>
      </c>
      <c r="N24" s="99">
        <f t="shared" ref="N24:N29" si="4">J24+(J24*0.2)</f>
        <v>12</v>
      </c>
    </row>
    <row r="25" spans="1:17" ht="18.399999999999999" thickTop="1" thickBot="1" x14ac:dyDescent="0.55000000000000004">
      <c r="A25" s="101" t="s">
        <v>8</v>
      </c>
      <c r="B25" s="102">
        <f>-B24</f>
        <v>-7.6019999999999994</v>
      </c>
      <c r="C25" s="102">
        <f>C21-C24</f>
        <v>-1</v>
      </c>
      <c r="D25" s="103">
        <f>D23</f>
        <v>6</v>
      </c>
      <c r="E25" s="102">
        <f>E23-E24</f>
        <v>-4</v>
      </c>
      <c r="F25" s="103">
        <f>F23</f>
        <v>3</v>
      </c>
      <c r="G25" s="103">
        <f>G23</f>
        <v>2</v>
      </c>
      <c r="I25" s="98" t="s">
        <v>96</v>
      </c>
      <c r="J25" s="99">
        <v>11</v>
      </c>
      <c r="K25" s="99">
        <f t="shared" si="1"/>
        <v>14.3</v>
      </c>
      <c r="L25" s="99">
        <f t="shared" si="2"/>
        <v>7.7</v>
      </c>
      <c r="M25" s="99">
        <f t="shared" si="3"/>
        <v>8.8000000000000007</v>
      </c>
      <c r="N25" s="99">
        <f t="shared" si="4"/>
        <v>13.2</v>
      </c>
    </row>
    <row r="26" spans="1:17" ht="18.399999999999999" thickTop="1" thickBot="1" x14ac:dyDescent="0.55000000000000004">
      <c r="A26" s="106" t="s">
        <v>248</v>
      </c>
      <c r="B26" s="104"/>
      <c r="C26" s="105"/>
      <c r="D26" s="105"/>
      <c r="E26" s="105"/>
      <c r="F26" s="105"/>
      <c r="G26" s="105"/>
      <c r="I26" s="98" t="s">
        <v>97</v>
      </c>
      <c r="J26" s="99">
        <v>10</v>
      </c>
      <c r="K26" s="99">
        <f t="shared" si="1"/>
        <v>13</v>
      </c>
      <c r="L26" s="99">
        <f t="shared" si="2"/>
        <v>7</v>
      </c>
      <c r="M26" s="99">
        <f t="shared" si="3"/>
        <v>8</v>
      </c>
      <c r="N26" s="99">
        <f t="shared" si="4"/>
        <v>12</v>
      </c>
    </row>
    <row r="27" spans="1:17" ht="18.399999999999999" thickTop="1" thickBot="1" x14ac:dyDescent="0.55000000000000004">
      <c r="A27" s="106" t="s">
        <v>303</v>
      </c>
      <c r="B27" s="106"/>
      <c r="C27" s="93"/>
      <c r="D27" s="93"/>
      <c r="E27" s="93"/>
      <c r="F27" s="93"/>
      <c r="G27" s="93"/>
      <c r="I27" s="98" t="s">
        <v>98</v>
      </c>
      <c r="J27" s="99">
        <v>10</v>
      </c>
      <c r="K27" s="99">
        <f t="shared" si="1"/>
        <v>13</v>
      </c>
      <c r="L27" s="99">
        <f t="shared" si="2"/>
        <v>7</v>
      </c>
      <c r="M27" s="99">
        <f t="shared" si="3"/>
        <v>8</v>
      </c>
      <c r="N27" s="99">
        <f t="shared" si="4"/>
        <v>12</v>
      </c>
    </row>
    <row r="28" spans="1:17" ht="18.399999999999999" thickTop="1" thickBot="1" x14ac:dyDescent="0.55000000000000004">
      <c r="A28" s="93"/>
      <c r="B28" s="105"/>
      <c r="C28" s="105"/>
      <c r="D28" s="105"/>
      <c r="E28" s="105"/>
      <c r="F28" s="105"/>
      <c r="G28" s="105"/>
      <c r="I28" s="98" t="s">
        <v>99</v>
      </c>
      <c r="J28" s="99">
        <v>10</v>
      </c>
      <c r="K28" s="99">
        <f t="shared" si="1"/>
        <v>13</v>
      </c>
      <c r="L28" s="99">
        <f t="shared" si="2"/>
        <v>7</v>
      </c>
      <c r="M28" s="99">
        <f t="shared" si="3"/>
        <v>8</v>
      </c>
      <c r="N28" s="99">
        <f t="shared" si="4"/>
        <v>12</v>
      </c>
    </row>
    <row r="29" spans="1:17" ht="18.399999999999999" thickTop="1" thickBot="1" x14ac:dyDescent="0.55000000000000004">
      <c r="A29" s="93"/>
      <c r="B29" s="105"/>
      <c r="C29" s="105"/>
      <c r="D29" s="105"/>
      <c r="E29" s="105"/>
      <c r="F29" s="105"/>
      <c r="G29" s="105"/>
      <c r="I29" s="98" t="s">
        <v>100</v>
      </c>
      <c r="J29" s="99">
        <v>10</v>
      </c>
      <c r="K29" s="99">
        <f t="shared" si="1"/>
        <v>13</v>
      </c>
      <c r="L29" s="99">
        <f t="shared" si="2"/>
        <v>7</v>
      </c>
      <c r="M29" s="99">
        <f t="shared" si="3"/>
        <v>8</v>
      </c>
      <c r="N29" s="99">
        <f t="shared" si="4"/>
        <v>12</v>
      </c>
      <c r="O29" s="199" t="s">
        <v>101</v>
      </c>
      <c r="P29" s="199"/>
      <c r="Q29" s="199"/>
    </row>
    <row r="30" spans="1:17" ht="18.399999999999999" thickTop="1" thickBot="1" x14ac:dyDescent="0.55000000000000004">
      <c r="L30" s="94"/>
      <c r="M30" s="94"/>
      <c r="N30" s="94"/>
    </row>
    <row r="31" spans="1:17" ht="18" thickBot="1" x14ac:dyDescent="0.55000000000000004">
      <c r="A31" s="86" t="s">
        <v>104</v>
      </c>
      <c r="B31" s="86" t="str">
        <f>Colonias!D6</f>
        <v>Bienes</v>
      </c>
      <c r="C31" s="86" t="str">
        <f>Colonias!E6</f>
        <v>Comida</v>
      </c>
      <c r="D31" s="86" t="str">
        <f>Colonias!F6</f>
        <v>Mat Primas</v>
      </c>
      <c r="E31" s="86" t="str">
        <f>Colonias!G6</f>
        <v>Exóticos</v>
      </c>
      <c r="F31" s="86" t="str">
        <f>Colonias!H6</f>
        <v>Carbón</v>
      </c>
      <c r="G31" s="86" t="str">
        <f>Colonias!I6</f>
        <v>Hierro</v>
      </c>
    </row>
    <row r="32" spans="1:17" ht="18" thickBot="1" x14ac:dyDescent="0.55000000000000004">
      <c r="A32" s="86" t="s">
        <v>105</v>
      </c>
      <c r="B32" s="86">
        <f>SUM(Colonias!D7)</f>
        <v>0</v>
      </c>
      <c r="C32" s="86">
        <f>SUM(Colonias!E7)</f>
        <v>0</v>
      </c>
      <c r="D32" s="86">
        <f>SUM(Colonias!F7)</f>
        <v>4</v>
      </c>
      <c r="E32" s="86">
        <f>SUM(Colonias!G7)</f>
        <v>3</v>
      </c>
      <c r="F32" s="179">
        <f>SUM(Colonias!H7)</f>
        <v>2</v>
      </c>
      <c r="G32" s="86">
        <f>SUM(Colonias!I7)</f>
        <v>1</v>
      </c>
    </row>
    <row r="33" spans="1:16" ht="18" thickBot="1" x14ac:dyDescent="0.55000000000000004">
      <c r="A33" s="86" t="s">
        <v>106</v>
      </c>
      <c r="B33" s="86">
        <f>Colonias!K7</f>
        <v>9</v>
      </c>
      <c r="C33" s="86">
        <f>Colonias!L7</f>
        <v>0</v>
      </c>
      <c r="D33" s="86">
        <f>Colonias!M7</f>
        <v>0</v>
      </c>
      <c r="E33" s="86">
        <f>Colonias!N7</f>
        <v>1</v>
      </c>
      <c r="F33" s="86">
        <f>Colonias!O7</f>
        <v>0</v>
      </c>
      <c r="G33" s="86">
        <f>Colonias!P7</f>
        <v>0</v>
      </c>
      <c r="H33" s="92"/>
    </row>
    <row r="34" spans="1:16" ht="18" thickBot="1" x14ac:dyDescent="0.55000000000000004">
      <c r="A34" s="86" t="s">
        <v>107</v>
      </c>
      <c r="B34" s="107">
        <f>B32-J51</f>
        <v>0</v>
      </c>
      <c r="C34" s="107">
        <f t="shared" ref="C34:G34" si="5">C32-K51</f>
        <v>0</v>
      </c>
      <c r="D34" s="107">
        <f t="shared" si="5"/>
        <v>4</v>
      </c>
      <c r="E34" s="107">
        <f t="shared" si="5"/>
        <v>3</v>
      </c>
      <c r="F34" s="107">
        <f t="shared" si="5"/>
        <v>2</v>
      </c>
      <c r="G34" s="107">
        <f t="shared" si="5"/>
        <v>1</v>
      </c>
      <c r="H34" s="92" t="s">
        <v>223</v>
      </c>
    </row>
    <row r="35" spans="1:16" ht="18" thickBot="1" x14ac:dyDescent="0.55000000000000004">
      <c r="A35" s="86" t="s">
        <v>108</v>
      </c>
      <c r="B35" s="107">
        <f>B33-B51</f>
        <v>9</v>
      </c>
      <c r="C35" s="107">
        <f t="shared" ref="C35:G35" si="6">C33-C51</f>
        <v>0</v>
      </c>
      <c r="D35" s="107">
        <f t="shared" si="6"/>
        <v>0</v>
      </c>
      <c r="E35" s="107">
        <f t="shared" si="6"/>
        <v>1</v>
      </c>
      <c r="F35" s="107">
        <f t="shared" si="6"/>
        <v>0</v>
      </c>
      <c r="G35" s="107">
        <f t="shared" si="6"/>
        <v>0</v>
      </c>
      <c r="H35" s="92" t="s">
        <v>109</v>
      </c>
    </row>
    <row r="36" spans="1:16" x14ac:dyDescent="0.5">
      <c r="I36" s="108"/>
    </row>
    <row r="37" spans="1:16" x14ac:dyDescent="0.5">
      <c r="A37" s="194" t="s">
        <v>232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</row>
    <row r="38" spans="1:16" ht="18" thickBot="1" x14ac:dyDescent="0.55000000000000004"/>
    <row r="39" spans="1:16" ht="18" thickBot="1" x14ac:dyDescent="0.55000000000000004">
      <c r="B39" s="191" t="s">
        <v>112</v>
      </c>
      <c r="C39" s="192"/>
      <c r="D39" s="193"/>
      <c r="J39" s="191" t="s">
        <v>113</v>
      </c>
      <c r="K39" s="192"/>
      <c r="L39" s="192"/>
      <c r="M39" s="193"/>
    </row>
    <row r="40" spans="1:16" x14ac:dyDescent="0.5">
      <c r="A40" s="109" t="s">
        <v>64</v>
      </c>
      <c r="B40" s="110" t="s">
        <v>94</v>
      </c>
      <c r="C40" s="110" t="s">
        <v>95</v>
      </c>
      <c r="D40" s="110" t="s">
        <v>102</v>
      </c>
      <c r="E40" s="109" t="s">
        <v>96</v>
      </c>
      <c r="F40" s="109" t="s">
        <v>98</v>
      </c>
      <c r="G40" s="109" t="s">
        <v>99</v>
      </c>
      <c r="H40" s="109" t="s">
        <v>137</v>
      </c>
      <c r="J40" s="110" t="s">
        <v>94</v>
      </c>
      <c r="K40" s="110" t="s">
        <v>95</v>
      </c>
      <c r="L40" s="110" t="s">
        <v>102</v>
      </c>
      <c r="M40" s="110" t="s">
        <v>96</v>
      </c>
      <c r="N40" s="109" t="s">
        <v>98</v>
      </c>
      <c r="O40" s="109" t="s">
        <v>99</v>
      </c>
      <c r="P40" s="109" t="s">
        <v>137</v>
      </c>
    </row>
    <row r="41" spans="1:16" x14ac:dyDescent="0.5">
      <c r="A41" s="146" t="s">
        <v>298</v>
      </c>
      <c r="B41" s="147"/>
      <c r="C41" s="147"/>
      <c r="D41" s="147"/>
      <c r="E41" s="147"/>
      <c r="F41" s="147"/>
      <c r="G41" s="147"/>
      <c r="H41" s="147">
        <v>20</v>
      </c>
      <c r="J41" s="147"/>
      <c r="K41" s="147">
        <v>2</v>
      </c>
      <c r="L41" s="147"/>
      <c r="M41" s="147"/>
      <c r="N41" s="147"/>
      <c r="O41" s="147"/>
      <c r="P41" s="147"/>
    </row>
    <row r="42" spans="1:16" x14ac:dyDescent="0.5">
      <c r="A42" s="146" t="s">
        <v>297</v>
      </c>
      <c r="B42" s="147"/>
      <c r="C42" s="147"/>
      <c r="D42" s="147">
        <v>2</v>
      </c>
      <c r="E42" s="147"/>
      <c r="F42" s="147"/>
      <c r="G42" s="147"/>
      <c r="H42" s="147">
        <v>35</v>
      </c>
      <c r="J42" s="147">
        <v>1</v>
      </c>
      <c r="K42" s="147"/>
      <c r="L42" s="147"/>
      <c r="M42" s="147">
        <v>1</v>
      </c>
      <c r="N42" s="147"/>
      <c r="O42" s="147"/>
      <c r="P42" s="147">
        <v>20</v>
      </c>
    </row>
    <row r="43" spans="1:16" x14ac:dyDescent="0.5">
      <c r="A43" s="146" t="s">
        <v>299</v>
      </c>
      <c r="B43" s="147"/>
      <c r="C43" s="147"/>
      <c r="D43" s="147"/>
      <c r="E43" s="147"/>
      <c r="F43" s="147"/>
      <c r="G43" s="147"/>
      <c r="H43" s="148">
        <v>10</v>
      </c>
      <c r="J43" s="147"/>
      <c r="K43" s="147"/>
      <c r="L43" s="147"/>
      <c r="M43" s="147"/>
      <c r="N43" s="147"/>
      <c r="O43" s="147">
        <v>1</v>
      </c>
      <c r="P43" s="147"/>
    </row>
    <row r="44" spans="1:16" x14ac:dyDescent="0.5">
      <c r="A44" s="146"/>
      <c r="B44" s="147"/>
      <c r="C44" s="147"/>
      <c r="D44" s="147"/>
      <c r="E44" s="147"/>
      <c r="F44" s="147"/>
      <c r="G44" s="147"/>
      <c r="H44" s="148"/>
      <c r="J44" s="147"/>
      <c r="K44" s="147"/>
      <c r="L44" s="147"/>
      <c r="M44" s="147"/>
      <c r="N44" s="147"/>
      <c r="O44" s="147"/>
      <c r="P44" s="147"/>
    </row>
    <row r="45" spans="1:16" x14ac:dyDescent="0.5">
      <c r="A45" s="146"/>
      <c r="B45" s="147"/>
      <c r="C45" s="147"/>
      <c r="D45" s="147"/>
      <c r="E45" s="147"/>
      <c r="F45" s="147"/>
      <c r="G45" s="147"/>
      <c r="H45" s="148"/>
      <c r="J45" s="147"/>
      <c r="K45" s="147"/>
      <c r="L45" s="147"/>
      <c r="M45" s="147"/>
      <c r="N45" s="147"/>
      <c r="O45" s="147"/>
      <c r="P45" s="147"/>
    </row>
    <row r="46" spans="1:16" x14ac:dyDescent="0.5">
      <c r="A46" s="146"/>
      <c r="B46" s="147"/>
      <c r="C46" s="147"/>
      <c r="D46" s="147"/>
      <c r="E46" s="147"/>
      <c r="F46" s="147"/>
      <c r="G46" s="147"/>
      <c r="H46" s="147"/>
      <c r="J46" s="147"/>
      <c r="K46" s="147"/>
      <c r="L46" s="147"/>
      <c r="M46" s="147"/>
      <c r="N46" s="147"/>
      <c r="O46" s="147"/>
      <c r="P46" s="147"/>
    </row>
    <row r="47" spans="1:16" x14ac:dyDescent="0.5">
      <c r="A47" s="146"/>
      <c r="B47" s="147"/>
      <c r="C47" s="147"/>
      <c r="D47" s="147"/>
      <c r="E47" s="147"/>
      <c r="F47" s="147"/>
      <c r="G47" s="147"/>
      <c r="H47" s="148"/>
      <c r="J47" s="147"/>
      <c r="K47" s="147"/>
      <c r="L47" s="147"/>
      <c r="M47" s="147"/>
      <c r="N47" s="147"/>
      <c r="O47" s="147"/>
      <c r="P47" s="147"/>
    </row>
    <row r="48" spans="1:16" x14ac:dyDescent="0.5">
      <c r="A48" s="146"/>
      <c r="B48" s="147"/>
      <c r="C48" s="147"/>
      <c r="D48" s="147"/>
      <c r="E48" s="147"/>
      <c r="F48" s="147"/>
      <c r="G48" s="147"/>
      <c r="H48" s="148"/>
      <c r="J48" s="147"/>
      <c r="K48" s="147"/>
      <c r="L48" s="147"/>
      <c r="M48" s="147"/>
      <c r="N48" s="147"/>
      <c r="O48" s="147"/>
      <c r="P48" s="147"/>
    </row>
    <row r="49" spans="1:17" x14ac:dyDescent="0.5">
      <c r="A49" s="146"/>
      <c r="B49" s="147"/>
      <c r="C49" s="147"/>
      <c r="D49" s="147"/>
      <c r="E49" s="147"/>
      <c r="F49" s="147"/>
      <c r="G49" s="147"/>
      <c r="H49" s="147"/>
      <c r="J49" s="147"/>
      <c r="K49" s="147"/>
      <c r="L49" s="147"/>
      <c r="M49" s="147"/>
      <c r="N49" s="147"/>
      <c r="O49" s="147"/>
      <c r="P49" s="147"/>
    </row>
    <row r="50" spans="1:17" ht="18" thickBot="1" x14ac:dyDescent="0.55000000000000004">
      <c r="A50" s="146"/>
      <c r="B50" s="147"/>
      <c r="C50" s="147"/>
      <c r="D50" s="147"/>
      <c r="E50" s="147"/>
      <c r="F50" s="147"/>
      <c r="G50" s="147"/>
      <c r="H50" s="148"/>
      <c r="J50" s="147"/>
      <c r="K50" s="147"/>
      <c r="L50" s="147"/>
      <c r="M50" s="147"/>
      <c r="N50" s="147"/>
      <c r="O50" s="147"/>
      <c r="P50" s="147"/>
    </row>
    <row r="51" spans="1:17" ht="18" thickBot="1" x14ac:dyDescent="0.55000000000000004">
      <c r="A51" s="109" t="s">
        <v>110</v>
      </c>
      <c r="B51" s="147"/>
      <c r="C51" s="147"/>
      <c r="D51" s="147"/>
      <c r="E51" s="147"/>
      <c r="F51" s="147"/>
      <c r="G51" s="147"/>
      <c r="H51" s="107">
        <f>-((J51*M23)+(K51*M24)+(L51*M26)+(M51*M25)+(N51*M27)+(O51*M28))</f>
        <v>0</v>
      </c>
      <c r="J51" s="147"/>
      <c r="K51" s="147"/>
      <c r="L51" s="147"/>
      <c r="M51" s="147"/>
      <c r="N51" s="147"/>
      <c r="O51" s="147"/>
      <c r="P51" s="107">
        <f>(B51*N23)+(C51*N24)+(D51*N26)+(E51*N25)+(F51*N27)+(G51*N28)</f>
        <v>0</v>
      </c>
    </row>
    <row r="52" spans="1:17" ht="18" thickBot="1" x14ac:dyDescent="0.55000000000000004">
      <c r="A52" s="111" t="s">
        <v>92</v>
      </c>
      <c r="B52" s="147"/>
      <c r="C52" s="147"/>
      <c r="D52" s="147"/>
      <c r="E52" s="147"/>
      <c r="F52" s="147"/>
      <c r="G52" s="147"/>
      <c r="H52" s="107">
        <f>-((J52*K23)+(K52*K24)+(L52*K26)+(M52*K25)+(N52*K27)+(O52*K28))</f>
        <v>0</v>
      </c>
      <c r="J52" s="147"/>
      <c r="K52" s="147"/>
      <c r="L52" s="147"/>
      <c r="M52" s="147"/>
      <c r="N52" s="147"/>
      <c r="O52" s="147"/>
      <c r="P52" s="107">
        <f>-((B52*L23)+(C52*L24)+(D52*L26)+(E52*L25)+(F52*L27)+(G52*L28))</f>
        <v>0</v>
      </c>
    </row>
    <row r="53" spans="1:17" ht="18" thickBot="1" x14ac:dyDescent="0.55000000000000004">
      <c r="A53" s="86" t="s">
        <v>5</v>
      </c>
      <c r="B53" s="107">
        <f t="shared" ref="B53:G53" si="7">SUM(B41:B52)</f>
        <v>0</v>
      </c>
      <c r="C53" s="107">
        <f t="shared" si="7"/>
        <v>0</v>
      </c>
      <c r="D53" s="107">
        <f t="shared" si="7"/>
        <v>2</v>
      </c>
      <c r="E53" s="107">
        <f t="shared" si="7"/>
        <v>0</v>
      </c>
      <c r="F53" s="107">
        <f t="shared" si="7"/>
        <v>0</v>
      </c>
      <c r="G53" s="107">
        <f t="shared" si="7"/>
        <v>0</v>
      </c>
      <c r="H53" s="112">
        <f>SUM(H51:H52)-SUM(H41:H50)</f>
        <v>-65</v>
      </c>
      <c r="I53" s="86" t="s">
        <v>5</v>
      </c>
      <c r="J53" s="107">
        <f t="shared" ref="J53:O53" si="8">SUM(J41:J52)</f>
        <v>1</v>
      </c>
      <c r="K53" s="107">
        <f t="shared" si="8"/>
        <v>2</v>
      </c>
      <c r="L53" s="107">
        <f t="shared" si="8"/>
        <v>0</v>
      </c>
      <c r="M53" s="107">
        <f t="shared" si="8"/>
        <v>1</v>
      </c>
      <c r="N53" s="107">
        <f t="shared" si="8"/>
        <v>0</v>
      </c>
      <c r="O53" s="107">
        <f t="shared" si="8"/>
        <v>1</v>
      </c>
      <c r="P53" s="112">
        <f xml:space="preserve"> SUM(P41:P51)-P52</f>
        <v>20</v>
      </c>
      <c r="Q53" s="113"/>
    </row>
    <row r="54" spans="1:17" ht="18" thickBot="1" x14ac:dyDescent="0.55000000000000004">
      <c r="B54" s="93"/>
      <c r="C54" s="93"/>
      <c r="D54" s="93"/>
      <c r="E54" s="93"/>
      <c r="F54" s="93"/>
      <c r="G54" s="93"/>
      <c r="H54" s="94"/>
      <c r="I54" s="114"/>
      <c r="J54" s="93"/>
      <c r="K54" s="93"/>
      <c r="L54" s="93"/>
      <c r="M54" s="93"/>
      <c r="N54" s="93"/>
      <c r="O54" s="93"/>
      <c r="P54" s="94"/>
    </row>
    <row r="55" spans="1:17" ht="18" thickBot="1" x14ac:dyDescent="0.55000000000000004">
      <c r="B55" s="86">
        <f>Colonias!D52</f>
        <v>0</v>
      </c>
      <c r="C55" s="86">
        <f>Colonias!E52</f>
        <v>0</v>
      </c>
      <c r="D55" s="86">
        <f>Colonias!F52</f>
        <v>0</v>
      </c>
      <c r="E55" s="86">
        <f>Colonias!G52</f>
        <v>0</v>
      </c>
      <c r="F55" s="86">
        <f>Colonias!H52</f>
        <v>0</v>
      </c>
      <c r="G55" s="86">
        <f>Colonias!I52</f>
        <v>0</v>
      </c>
      <c r="H55" s="86" t="s">
        <v>111</v>
      </c>
    </row>
    <row r="56" spans="1:17" ht="18" thickBot="1" x14ac:dyDescent="0.55000000000000004">
      <c r="A56" s="84" t="s">
        <v>114</v>
      </c>
      <c r="B56" s="100">
        <f t="shared" ref="B56:G56" si="9">B25-B53+J53</f>
        <v>-6.6019999999999994</v>
      </c>
      <c r="C56" s="100">
        <f t="shared" si="9"/>
        <v>1</v>
      </c>
      <c r="D56" s="100">
        <f t="shared" si="9"/>
        <v>4</v>
      </c>
      <c r="E56" s="100">
        <f t="shared" si="9"/>
        <v>-3</v>
      </c>
      <c r="F56" s="100">
        <f t="shared" si="9"/>
        <v>3</v>
      </c>
      <c r="G56" s="100">
        <f t="shared" si="9"/>
        <v>3</v>
      </c>
      <c r="H56" s="115">
        <f>B15+H53+P53</f>
        <v>310.58499999999998</v>
      </c>
      <c r="J56" s="91"/>
    </row>
    <row r="57" spans="1:17" x14ac:dyDescent="0.5">
      <c r="A57" s="93"/>
      <c r="B57" s="105"/>
      <c r="C57" s="105"/>
      <c r="D57" s="105"/>
      <c r="E57" s="105"/>
      <c r="F57" s="105"/>
      <c r="G57" s="105"/>
      <c r="H57" s="95"/>
      <c r="I57" s="93"/>
    </row>
    <row r="58" spans="1:17" x14ac:dyDescent="0.5">
      <c r="A58" s="84" t="s">
        <v>9</v>
      </c>
    </row>
    <row r="59" spans="1:17" ht="18" thickBot="1" x14ac:dyDescent="0.55000000000000004">
      <c r="A59" s="84" t="s">
        <v>115</v>
      </c>
      <c r="B59" s="84" t="s">
        <v>136</v>
      </c>
      <c r="C59" s="84" t="s">
        <v>95</v>
      </c>
      <c r="D59" s="84" t="s">
        <v>102</v>
      </c>
      <c r="E59" s="84" t="s">
        <v>96</v>
      </c>
      <c r="F59" s="84" t="s">
        <v>98</v>
      </c>
      <c r="G59" s="84" t="s">
        <v>99</v>
      </c>
      <c r="H59" s="84" t="s">
        <v>137</v>
      </c>
      <c r="I59" s="84" t="s">
        <v>138</v>
      </c>
    </row>
    <row r="60" spans="1:17" ht="18" thickBot="1" x14ac:dyDescent="0.55000000000000004">
      <c r="A60" s="84" t="s">
        <v>116</v>
      </c>
      <c r="B60" s="147"/>
      <c r="C60" s="116" t="s">
        <v>9</v>
      </c>
      <c r="D60" s="107">
        <f>B60</f>
        <v>0</v>
      </c>
      <c r="E60" s="116"/>
      <c r="F60" s="116"/>
      <c r="G60" s="116"/>
      <c r="H60" s="116"/>
      <c r="I60" s="86">
        <f>B60</f>
        <v>0</v>
      </c>
    </row>
    <row r="61" spans="1:17" ht="18" thickBot="1" x14ac:dyDescent="0.55000000000000004">
      <c r="A61" s="84" t="s">
        <v>117</v>
      </c>
      <c r="B61" s="147"/>
      <c r="C61" s="116" t="s">
        <v>9</v>
      </c>
      <c r="D61" s="116"/>
      <c r="E61" s="116"/>
      <c r="F61" s="86">
        <f>B61</f>
        <v>0</v>
      </c>
      <c r="G61" s="86">
        <f>B61</f>
        <v>0</v>
      </c>
      <c r="H61" s="116"/>
      <c r="I61" s="86">
        <f>B61*2</f>
        <v>0</v>
      </c>
    </row>
    <row r="62" spans="1:17" ht="18" thickBot="1" x14ac:dyDescent="0.55000000000000004">
      <c r="A62" s="84" t="s">
        <v>118</v>
      </c>
      <c r="B62" s="147"/>
      <c r="C62" s="116"/>
      <c r="D62" s="116"/>
      <c r="E62" s="116"/>
      <c r="F62" s="86">
        <f>B62</f>
        <v>0</v>
      </c>
      <c r="G62" s="86">
        <f>B62</f>
        <v>0</v>
      </c>
      <c r="H62" s="116"/>
      <c r="I62" s="86">
        <f>B62</f>
        <v>0</v>
      </c>
    </row>
    <row r="63" spans="1:17" ht="18" thickBot="1" x14ac:dyDescent="0.55000000000000004">
      <c r="A63" s="84" t="s">
        <v>119</v>
      </c>
      <c r="B63" s="116"/>
      <c r="C63" s="116"/>
      <c r="D63" s="116"/>
      <c r="E63" s="147">
        <v>0</v>
      </c>
      <c r="F63" s="116"/>
      <c r="G63" s="116"/>
      <c r="H63" s="89">
        <f>E63*6</f>
        <v>0</v>
      </c>
      <c r="I63" s="86">
        <f>E63</f>
        <v>0</v>
      </c>
    </row>
    <row r="64" spans="1:17" ht="18" thickBot="1" x14ac:dyDescent="0.55000000000000004">
      <c r="A64" s="84" t="s">
        <v>63</v>
      </c>
      <c r="B64" s="100">
        <f>B56+B60+(B61*2)</f>
        <v>-6.6019999999999994</v>
      </c>
      <c r="C64" s="100">
        <f>C56</f>
        <v>1</v>
      </c>
      <c r="D64" s="100">
        <f>D56-D60</f>
        <v>4</v>
      </c>
      <c r="E64" s="100">
        <f>E63+E56</f>
        <v>-3</v>
      </c>
      <c r="F64" s="100">
        <f>F56-F61-F62</f>
        <v>3</v>
      </c>
      <c r="G64" s="100">
        <f>G56-G61-G62</f>
        <v>3</v>
      </c>
      <c r="H64" s="115">
        <f>H56-H63</f>
        <v>310.58499999999998</v>
      </c>
      <c r="I64" s="86">
        <f>B23-I60-I61-I62-I63</f>
        <v>16</v>
      </c>
    </row>
    <row r="66" spans="1:16" x14ac:dyDescent="0.5">
      <c r="A66" s="194" t="s">
        <v>140</v>
      </c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</row>
    <row r="68" spans="1:16" ht="18" thickBot="1" x14ac:dyDescent="0.55000000000000004">
      <c r="A68" s="117" t="s">
        <v>238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</row>
    <row r="69" spans="1:16" x14ac:dyDescent="0.5">
      <c r="A69" s="211" t="s">
        <v>130</v>
      </c>
      <c r="B69" s="211" t="s">
        <v>120</v>
      </c>
      <c r="C69" s="211" t="s">
        <v>245</v>
      </c>
      <c r="D69" s="211" t="s">
        <v>129</v>
      </c>
      <c r="E69" s="200" t="s">
        <v>122</v>
      </c>
      <c r="F69" s="200" t="s">
        <v>121</v>
      </c>
      <c r="G69" s="204" t="s">
        <v>120</v>
      </c>
      <c r="H69" s="204" t="s">
        <v>124</v>
      </c>
    </row>
    <row r="70" spans="1:16" ht="18" thickBot="1" x14ac:dyDescent="0.55000000000000004">
      <c r="A70" s="212"/>
      <c r="B70" s="212"/>
      <c r="C70" s="212"/>
      <c r="D70" s="212"/>
      <c r="E70" s="201"/>
      <c r="F70" s="201"/>
      <c r="G70" s="205"/>
      <c r="H70" s="205"/>
    </row>
    <row r="71" spans="1:16" ht="18" thickBot="1" x14ac:dyDescent="0.55000000000000004">
      <c r="A71" s="86" t="s">
        <v>138</v>
      </c>
      <c r="B71" s="89">
        <v>85</v>
      </c>
      <c r="C71" s="96">
        <v>0.33</v>
      </c>
      <c r="D71" s="149" t="s">
        <v>13</v>
      </c>
      <c r="E71" s="96">
        <f>IF(H71="Si",0.4,0.33)</f>
        <v>0.33</v>
      </c>
      <c r="F71" s="96" t="str">
        <f>IF(D71="Si",(IF((C71+E71)&gt;1,1,(C71+E71)))," ")</f>
        <v xml:space="preserve"> </v>
      </c>
      <c r="G71" s="89" t="str">
        <f>IF(D71="Continue",5,(IF(D71="Si",(IF((C71+E71)&gt;1,5,B71))," ")))</f>
        <v xml:space="preserve"> </v>
      </c>
      <c r="H71" s="172" t="s">
        <v>13</v>
      </c>
      <c r="I71" s="119"/>
      <c r="J71" s="187"/>
    </row>
    <row r="72" spans="1:16" ht="18" thickBot="1" x14ac:dyDescent="0.55000000000000004">
      <c r="A72" s="150" t="s">
        <v>95</v>
      </c>
      <c r="B72" s="89">
        <v>55</v>
      </c>
      <c r="C72" s="96">
        <v>0</v>
      </c>
      <c r="D72" s="149" t="s">
        <v>13</v>
      </c>
      <c r="E72" s="96">
        <f t="shared" ref="E72:E80" si="10">IF(H72="Si",0.4,0.33)</f>
        <v>0.33</v>
      </c>
      <c r="F72" s="96" t="str">
        <f t="shared" ref="F72:F80" si="11">IF(D72="Si",(IF((C72+E72)&gt;1,1,(C72+E72)))," ")</f>
        <v xml:space="preserve"> </v>
      </c>
      <c r="G72" s="89" t="str">
        <f t="shared" ref="G72:G80" si="12">IF(D72="Continue",5,(IF(D72="Si",(IF((C72+E72)&gt;1,5,B72))," ")))</f>
        <v xml:space="preserve"> </v>
      </c>
      <c r="H72" s="175" t="s">
        <v>13</v>
      </c>
      <c r="I72" s="119"/>
    </row>
    <row r="73" spans="1:16" s="151" customFormat="1" ht="18" thickBot="1" x14ac:dyDescent="0.55000000000000004">
      <c r="A73" s="150" t="s">
        <v>98</v>
      </c>
      <c r="B73" s="89">
        <v>60</v>
      </c>
      <c r="C73" s="96">
        <v>0</v>
      </c>
      <c r="D73" s="149" t="s">
        <v>13</v>
      </c>
      <c r="E73" s="96">
        <f t="shared" si="10"/>
        <v>0.33</v>
      </c>
      <c r="F73" s="96" t="str">
        <f t="shared" si="11"/>
        <v xml:space="preserve"> </v>
      </c>
      <c r="G73" s="89" t="str">
        <f t="shared" si="12"/>
        <v xml:space="preserve"> </v>
      </c>
      <c r="H73" s="175" t="s">
        <v>13</v>
      </c>
      <c r="I73" s="119"/>
      <c r="L73" s="183"/>
    </row>
    <row r="74" spans="1:16" s="151" customFormat="1" ht="18" thickBot="1" x14ac:dyDescent="0.55000000000000004">
      <c r="A74" s="150" t="s">
        <v>99</v>
      </c>
      <c r="B74" s="89">
        <v>80</v>
      </c>
      <c r="C74" s="96">
        <v>0</v>
      </c>
      <c r="D74" s="149" t="s">
        <v>13</v>
      </c>
      <c r="E74" s="96">
        <f t="shared" si="10"/>
        <v>0.33</v>
      </c>
      <c r="F74" s="96" t="str">
        <f t="shared" si="11"/>
        <v xml:space="preserve"> </v>
      </c>
      <c r="G74" s="89" t="str">
        <f t="shared" si="12"/>
        <v xml:space="preserve"> </v>
      </c>
      <c r="H74" s="175" t="s">
        <v>13</v>
      </c>
      <c r="I74" s="119"/>
    </row>
    <row r="75" spans="1:16" s="151" customFormat="1" ht="18" thickBot="1" x14ac:dyDescent="0.55000000000000004">
      <c r="A75" s="150" t="s">
        <v>249</v>
      </c>
      <c r="B75" s="89">
        <v>65</v>
      </c>
      <c r="C75" s="96">
        <v>0</v>
      </c>
      <c r="D75" s="149" t="s">
        <v>13</v>
      </c>
      <c r="E75" s="96">
        <f t="shared" si="10"/>
        <v>0.33</v>
      </c>
      <c r="F75" s="96" t="str">
        <f t="shared" si="11"/>
        <v xml:space="preserve"> </v>
      </c>
      <c r="G75" s="89" t="str">
        <f t="shared" si="12"/>
        <v xml:space="preserve"> </v>
      </c>
      <c r="H75" s="175" t="s">
        <v>13</v>
      </c>
      <c r="I75" s="119"/>
      <c r="J75" s="187"/>
    </row>
    <row r="76" spans="1:16" ht="18" thickBot="1" x14ac:dyDescent="0.55000000000000004">
      <c r="A76" s="146"/>
      <c r="B76" s="89" t="str">
        <f>IF(A76="","",VLOOKUP(A76,Colonias!$B$36:$E$53,4,FALSE))</f>
        <v/>
      </c>
      <c r="C76" s="96">
        <f>IF(A76="",0,VLOOKUP(A76,Colonias!$B$36:$F$53,5,FALSE))</f>
        <v>0</v>
      </c>
      <c r="D76" s="149" t="s">
        <v>13</v>
      </c>
      <c r="E76" s="96">
        <f t="shared" si="10"/>
        <v>0.33</v>
      </c>
      <c r="F76" s="96" t="str">
        <f t="shared" si="11"/>
        <v xml:space="preserve"> </v>
      </c>
      <c r="G76" s="89" t="str">
        <f t="shared" si="12"/>
        <v xml:space="preserve"> </v>
      </c>
      <c r="H76" s="86" t="str">
        <f>IF(A76="","No",VLOOKUP(A76,Colonias!$B$36:$G$53,6,FALSE))</f>
        <v>No</v>
      </c>
      <c r="I76" s="87"/>
      <c r="J76" s="187"/>
    </row>
    <row r="77" spans="1:16" ht="18" thickBot="1" x14ac:dyDescent="0.55000000000000004">
      <c r="A77" s="146"/>
      <c r="B77" s="89" t="str">
        <f>IF(A77="","",VLOOKUP(A77,Colonias!$B$36:$E$53,4,FALSE))</f>
        <v/>
      </c>
      <c r="C77" s="96">
        <f>IF(A77="",0,VLOOKUP(A77,Colonias!$B$36:$F$53,5,FALSE))</f>
        <v>0</v>
      </c>
      <c r="D77" s="149" t="s">
        <v>13</v>
      </c>
      <c r="E77" s="96">
        <f t="shared" si="10"/>
        <v>0.33</v>
      </c>
      <c r="F77" s="96" t="str">
        <f t="shared" si="11"/>
        <v xml:space="preserve"> </v>
      </c>
      <c r="G77" s="89" t="str">
        <f t="shared" si="12"/>
        <v xml:space="preserve"> </v>
      </c>
      <c r="H77" s="180" t="str">
        <f>IF(A77="","No",VLOOKUP(A77,Colonias!$B$36:$G$53,6,FALSE))</f>
        <v>No</v>
      </c>
      <c r="I77" s="87"/>
      <c r="J77" s="187"/>
    </row>
    <row r="78" spans="1:16" ht="18" thickBot="1" x14ac:dyDescent="0.55000000000000004">
      <c r="A78" s="146"/>
      <c r="B78" s="89" t="str">
        <f>IF(A78="","",VLOOKUP(A78,Colonias!$B$36:$E$53,4,FALSE))</f>
        <v/>
      </c>
      <c r="C78" s="96">
        <f>IF(A78="",0,VLOOKUP(A78,Colonias!$B$36:$F$53,5,FALSE))</f>
        <v>0</v>
      </c>
      <c r="D78" s="149" t="s">
        <v>13</v>
      </c>
      <c r="E78" s="96">
        <f t="shared" si="10"/>
        <v>0.33</v>
      </c>
      <c r="F78" s="96" t="str">
        <f t="shared" si="11"/>
        <v xml:space="preserve"> </v>
      </c>
      <c r="G78" s="89" t="str">
        <f t="shared" si="12"/>
        <v xml:space="preserve"> </v>
      </c>
      <c r="H78" s="180" t="str">
        <f>IF(A78="","No",VLOOKUP(A78,Colonias!$B$36:$G$53,6,FALSE))</f>
        <v>No</v>
      </c>
      <c r="I78" s="87"/>
    </row>
    <row r="79" spans="1:16" ht="18" thickBot="1" x14ac:dyDescent="0.55000000000000004">
      <c r="A79" s="146"/>
      <c r="B79" s="89" t="str">
        <f>IF(A79="","",VLOOKUP(A79,Colonias!$B$36:$E$53,4,FALSE))</f>
        <v/>
      </c>
      <c r="C79" s="96">
        <f>IF(A79="",0,VLOOKUP(A79,Colonias!$B$36:$F$53,5,FALSE))</f>
        <v>0</v>
      </c>
      <c r="D79" s="149" t="s">
        <v>13</v>
      </c>
      <c r="E79" s="96">
        <f t="shared" si="10"/>
        <v>0.33</v>
      </c>
      <c r="F79" s="96" t="str">
        <f t="shared" si="11"/>
        <v xml:space="preserve"> </v>
      </c>
      <c r="G79" s="89" t="str">
        <f t="shared" si="12"/>
        <v xml:space="preserve"> </v>
      </c>
      <c r="H79" s="180" t="str">
        <f>IF(A79="","No",VLOOKUP(A79,Colonias!$B$36:$G$53,6,FALSE))</f>
        <v>No</v>
      </c>
      <c r="I79" s="87"/>
    </row>
    <row r="80" spans="1:16" ht="18" thickBot="1" x14ac:dyDescent="0.55000000000000004">
      <c r="A80" s="146"/>
      <c r="B80" s="89" t="str">
        <f>IF(A80="","",VLOOKUP(A80,Colonias!$B$36:$E$53,4,FALSE))</f>
        <v/>
      </c>
      <c r="C80" s="96">
        <f>IF(A80="",0,VLOOKUP(A80,Colonias!$B$36:$F$53,5,FALSE))</f>
        <v>0</v>
      </c>
      <c r="D80" s="149" t="s">
        <v>13</v>
      </c>
      <c r="E80" s="96">
        <f t="shared" si="10"/>
        <v>0.33</v>
      </c>
      <c r="F80" s="96" t="str">
        <f t="shared" si="11"/>
        <v xml:space="preserve"> </v>
      </c>
      <c r="G80" s="89" t="str">
        <f t="shared" si="12"/>
        <v xml:space="preserve"> </v>
      </c>
      <c r="H80" s="180" t="str">
        <f>IF(A80="","No",VLOOKUP(A80,Colonias!$B$36:$G$53,6,FALSE))</f>
        <v>No</v>
      </c>
      <c r="I80" s="87"/>
    </row>
    <row r="81" spans="1:8" ht="18" thickBot="1" x14ac:dyDescent="0.55000000000000004">
      <c r="B81" s="91"/>
      <c r="F81" s="120" t="s">
        <v>5</v>
      </c>
      <c r="G81" s="121">
        <f>SUM(G71:G80)</f>
        <v>0</v>
      </c>
    </row>
    <row r="82" spans="1:8" ht="18" thickBot="1" x14ac:dyDescent="0.55000000000000004">
      <c r="A82" s="122" t="s">
        <v>239</v>
      </c>
      <c r="B82" s="91"/>
      <c r="F82" s="93"/>
      <c r="G82" s="94"/>
    </row>
    <row r="83" spans="1:8" ht="18" thickBot="1" x14ac:dyDescent="0.55000000000000004">
      <c r="A83" s="86" t="s">
        <v>125</v>
      </c>
      <c r="B83" s="86" t="s">
        <v>120</v>
      </c>
      <c r="C83" s="86" t="s">
        <v>126</v>
      </c>
      <c r="D83" s="86" t="s">
        <v>129</v>
      </c>
      <c r="E83" s="86" t="s">
        <v>127</v>
      </c>
      <c r="F83" s="86" t="s">
        <v>120</v>
      </c>
      <c r="G83" s="94"/>
    </row>
    <row r="84" spans="1:8" ht="18" thickBot="1" x14ac:dyDescent="0.55000000000000004">
      <c r="A84" s="146"/>
      <c r="B84" s="89" t="str">
        <f>IF(A84="","",VLOOKUP(A84,Ferrocarriles!$G$5:$I$10,2,FALSE))</f>
        <v/>
      </c>
      <c r="C84" s="86" t="str">
        <f>IF(A84="","",VLOOKUP(A84,Ferrocarriles!$G$5:$I$10,3,FALSE))</f>
        <v/>
      </c>
      <c r="D84" s="157" t="s">
        <v>13</v>
      </c>
      <c r="E84" s="86">
        <f>IF(D84="Si",1,0)</f>
        <v>0</v>
      </c>
      <c r="F84" s="89">
        <f>IF(D84="Si",B84,0)</f>
        <v>0</v>
      </c>
      <c r="G84" s="123"/>
      <c r="H84" s="124"/>
    </row>
    <row r="85" spans="1:8" ht="18" thickBot="1" x14ac:dyDescent="0.55000000000000004">
      <c r="A85" s="146"/>
      <c r="B85" s="89" t="str">
        <f>IF(A85="","",VLOOKUP(A85,Ferrocarriles!$G$5:$I$10,2,FALSE))</f>
        <v/>
      </c>
      <c r="C85" s="150" t="str">
        <f>IF(A85="","",VLOOKUP(A85,Ferrocarriles!$G$5:$I$10,3,FALSE))</f>
        <v/>
      </c>
      <c r="D85" s="157" t="s">
        <v>13</v>
      </c>
      <c r="E85" s="86">
        <f t="shared" ref="E85:E87" si="13">IF(D85="Si",1,0)</f>
        <v>0</v>
      </c>
      <c r="F85" s="89">
        <f t="shared" ref="F85:F87" si="14">IF(D85="Si",B85,0)</f>
        <v>0</v>
      </c>
      <c r="G85" s="123"/>
      <c r="H85" s="124"/>
    </row>
    <row r="86" spans="1:8" ht="18" thickBot="1" x14ac:dyDescent="0.55000000000000004">
      <c r="A86" s="146"/>
      <c r="B86" s="89" t="str">
        <f>IF(A86="","",VLOOKUP(A86,Ferrocarriles!$G$5:$I$10,2,FALSE))</f>
        <v/>
      </c>
      <c r="C86" s="150" t="str">
        <f>IF(A86="","",VLOOKUP(A86,Ferrocarriles!$G$5:$I$10,3,FALSE))</f>
        <v/>
      </c>
      <c r="D86" s="157" t="s">
        <v>13</v>
      </c>
      <c r="E86" s="86">
        <f t="shared" si="13"/>
        <v>0</v>
      </c>
      <c r="F86" s="89">
        <f t="shared" si="14"/>
        <v>0</v>
      </c>
      <c r="G86" s="123"/>
      <c r="H86" s="124"/>
    </row>
    <row r="87" spans="1:8" ht="18" thickBot="1" x14ac:dyDescent="0.55000000000000004">
      <c r="A87" s="146"/>
      <c r="B87" s="89" t="str">
        <f>IF(A87="","",VLOOKUP(A87,Ferrocarriles!$G$5:$I$10,2,FALSE))</f>
        <v/>
      </c>
      <c r="C87" s="150" t="str">
        <f>IF(A87="","",VLOOKUP(A87,Ferrocarriles!$G$5:$I$10,3,FALSE))</f>
        <v/>
      </c>
      <c r="D87" s="157" t="s">
        <v>13</v>
      </c>
      <c r="E87" s="86">
        <f t="shared" si="13"/>
        <v>0</v>
      </c>
      <c r="F87" s="89">
        <f t="shared" si="14"/>
        <v>0</v>
      </c>
      <c r="G87" s="123"/>
      <c r="H87" s="124"/>
    </row>
    <row r="88" spans="1:8" ht="18" thickBot="1" x14ac:dyDescent="0.55000000000000004">
      <c r="B88" s="91"/>
      <c r="D88" s="86" t="s">
        <v>44</v>
      </c>
      <c r="E88" s="86">
        <f>SUM(E84:E87)</f>
        <v>0</v>
      </c>
      <c r="F88" s="89">
        <f>SUM(F84:F87)</f>
        <v>0</v>
      </c>
      <c r="G88" s="94"/>
    </row>
    <row r="89" spans="1:8" x14ac:dyDescent="0.5">
      <c r="B89" s="91"/>
      <c r="D89" s="93"/>
      <c r="E89" s="125" t="str">
        <f>IF(E88&gt;B62,"Need to build more HI points to complete this investment(s)"," ")</f>
        <v xml:space="preserve"> </v>
      </c>
      <c r="F89" s="93"/>
      <c r="G89" s="94"/>
    </row>
    <row r="90" spans="1:8" x14ac:dyDescent="0.5">
      <c r="B90" s="91"/>
      <c r="F90" s="93"/>
      <c r="G90" s="94"/>
    </row>
    <row r="91" spans="1:8" ht="18" thickBot="1" x14ac:dyDescent="0.55000000000000004">
      <c r="A91" s="122" t="s">
        <v>240</v>
      </c>
      <c r="B91" s="91"/>
      <c r="F91" s="91"/>
    </row>
    <row r="92" spans="1:8" ht="18" thickBot="1" x14ac:dyDescent="0.55000000000000004">
      <c r="A92" s="86" t="s">
        <v>128</v>
      </c>
      <c r="B92" s="86" t="s">
        <v>120</v>
      </c>
      <c r="F92" s="89" t="s">
        <v>120</v>
      </c>
      <c r="G92" s="86" t="s">
        <v>125</v>
      </c>
    </row>
    <row r="93" spans="1:8" ht="18" thickBot="1" x14ac:dyDescent="0.55000000000000004">
      <c r="A93" s="158"/>
      <c r="B93" s="159"/>
      <c r="C93" s="87"/>
      <c r="D93" s="119"/>
      <c r="F93" s="89">
        <f>B93</f>
        <v>0</v>
      </c>
      <c r="G93" s="157" t="s">
        <v>13</v>
      </c>
    </row>
    <row r="94" spans="1:8" ht="18" thickBot="1" x14ac:dyDescent="0.55000000000000004">
      <c r="A94" s="158"/>
      <c r="B94" s="159"/>
      <c r="C94" s="87"/>
      <c r="D94" s="113"/>
      <c r="F94" s="89">
        <f>B94</f>
        <v>0</v>
      </c>
      <c r="G94" s="157" t="s">
        <v>13</v>
      </c>
    </row>
    <row r="95" spans="1:8" ht="18" thickBot="1" x14ac:dyDescent="0.55000000000000004">
      <c r="A95" s="158"/>
      <c r="B95" s="159"/>
      <c r="C95" s="87"/>
      <c r="D95" s="124"/>
      <c r="F95" s="89">
        <f>B95</f>
        <v>0</v>
      </c>
      <c r="G95" s="157" t="s">
        <v>13</v>
      </c>
    </row>
    <row r="96" spans="1:8" ht="18" thickBot="1" x14ac:dyDescent="0.55000000000000004">
      <c r="A96" s="158"/>
      <c r="B96" s="159"/>
      <c r="C96" s="87"/>
      <c r="F96" s="89">
        <f>B96</f>
        <v>0</v>
      </c>
      <c r="G96" s="157" t="s">
        <v>13</v>
      </c>
    </row>
    <row r="97" spans="1:11" ht="18" thickBot="1" x14ac:dyDescent="0.55000000000000004">
      <c r="B97" s="91"/>
      <c r="E97" s="86" t="s">
        <v>6</v>
      </c>
      <c r="F97" s="115">
        <f>SUM(F93:F96)</f>
        <v>0</v>
      </c>
    </row>
    <row r="98" spans="1:11" x14ac:dyDescent="0.5">
      <c r="B98" s="91"/>
    </row>
    <row r="99" spans="1:11" ht="18" thickBot="1" x14ac:dyDescent="0.55000000000000004">
      <c r="A99" s="126" t="s">
        <v>237</v>
      </c>
      <c r="B99" s="91"/>
    </row>
    <row r="100" spans="1:11" ht="18" thickBot="1" x14ac:dyDescent="0.55000000000000004">
      <c r="C100" s="86" t="s">
        <v>132</v>
      </c>
      <c r="E100" s="86" t="s">
        <v>133</v>
      </c>
      <c r="F100" s="84" t="s">
        <v>9</v>
      </c>
    </row>
    <row r="101" spans="1:11" ht="18" thickBot="1" x14ac:dyDescent="0.55000000000000004">
      <c r="A101" s="86" t="s">
        <v>131</v>
      </c>
      <c r="B101" s="86" t="s">
        <v>120</v>
      </c>
      <c r="C101" s="86" t="s">
        <v>10</v>
      </c>
      <c r="D101" s="86" t="s">
        <v>129</v>
      </c>
      <c r="E101" s="86" t="s">
        <v>10</v>
      </c>
      <c r="F101" s="89" t="s">
        <v>120</v>
      </c>
    </row>
    <row r="102" spans="1:11" ht="18" thickBot="1" x14ac:dyDescent="0.55000000000000004">
      <c r="A102" s="86" t="s">
        <v>300</v>
      </c>
      <c r="B102" s="89">
        <v>30</v>
      </c>
      <c r="C102" s="96">
        <v>0.2</v>
      </c>
      <c r="D102" s="157" t="s">
        <v>13</v>
      </c>
      <c r="E102" s="96" t="str">
        <f>IF(D102="Si",(C102+0.2),IF(D102="Continue",(C102)," "))</f>
        <v xml:space="preserve"> </v>
      </c>
      <c r="F102" s="89" t="str">
        <f>IF(D102="Si",B102,IF(D102="Continue",5,""))</f>
        <v/>
      </c>
      <c r="G102" s="124"/>
      <c r="K102" s="187"/>
    </row>
    <row r="103" spans="1:11" ht="18" thickBot="1" x14ac:dyDescent="0.55000000000000004">
      <c r="A103" s="86" t="s">
        <v>155</v>
      </c>
      <c r="B103" s="89">
        <v>30</v>
      </c>
      <c r="C103" s="96">
        <v>0</v>
      </c>
      <c r="D103" s="157" t="s">
        <v>13</v>
      </c>
      <c r="E103" s="96" t="str">
        <f t="shared" ref="E103:E110" si="15">IF(D103="Si",(C103+0.2),IF(D103="Continue",(C103)," "))</f>
        <v xml:space="preserve"> </v>
      </c>
      <c r="F103" s="89" t="str">
        <f t="shared" ref="F103:F110" si="16">IF(D103="Si",B103,IF(D103="Continue",5,""))</f>
        <v/>
      </c>
      <c r="G103" s="124"/>
      <c r="H103" s="185"/>
    </row>
    <row r="104" spans="1:11" ht="18" thickBot="1" x14ac:dyDescent="0.55000000000000004">
      <c r="A104" s="86" t="s">
        <v>156</v>
      </c>
      <c r="B104" s="89">
        <v>30</v>
      </c>
      <c r="C104" s="96">
        <v>0.2</v>
      </c>
      <c r="D104" s="157" t="s">
        <v>13</v>
      </c>
      <c r="E104" s="96" t="str">
        <f t="shared" si="15"/>
        <v xml:space="preserve"> </v>
      </c>
      <c r="F104" s="89" t="str">
        <f t="shared" si="16"/>
        <v/>
      </c>
      <c r="G104" s="87"/>
      <c r="H104" s="187"/>
    </row>
    <row r="105" spans="1:11" ht="18" thickBot="1" x14ac:dyDescent="0.55000000000000004">
      <c r="A105" s="86" t="s">
        <v>157</v>
      </c>
      <c r="B105" s="89">
        <v>30</v>
      </c>
      <c r="C105" s="96">
        <v>0</v>
      </c>
      <c r="D105" s="157" t="s">
        <v>13</v>
      </c>
      <c r="E105" s="96" t="str">
        <f t="shared" si="15"/>
        <v xml:space="preserve"> </v>
      </c>
      <c r="F105" s="89" t="str">
        <f t="shared" si="16"/>
        <v/>
      </c>
      <c r="G105" s="87"/>
    </row>
    <row r="106" spans="1:11" ht="18" thickBot="1" x14ac:dyDescent="0.55000000000000004">
      <c r="A106" s="86" t="s">
        <v>293</v>
      </c>
      <c r="B106" s="89">
        <v>30</v>
      </c>
      <c r="C106" s="96">
        <v>0.4</v>
      </c>
      <c r="D106" s="157" t="s">
        <v>13</v>
      </c>
      <c r="E106" s="96" t="str">
        <f t="shared" si="15"/>
        <v xml:space="preserve"> </v>
      </c>
      <c r="F106" s="89" t="str">
        <f t="shared" si="16"/>
        <v/>
      </c>
      <c r="G106" s="124"/>
      <c r="H106" s="187"/>
    </row>
    <row r="107" spans="1:11" ht="18" thickBot="1" x14ac:dyDescent="0.55000000000000004">
      <c r="A107" s="86" t="s">
        <v>158</v>
      </c>
      <c r="B107" s="89">
        <v>30</v>
      </c>
      <c r="C107" s="96">
        <v>0</v>
      </c>
      <c r="D107" s="157" t="s">
        <v>13</v>
      </c>
      <c r="E107" s="96" t="str">
        <f t="shared" si="15"/>
        <v xml:space="preserve"> </v>
      </c>
      <c r="F107" s="89" t="str">
        <f t="shared" si="16"/>
        <v/>
      </c>
      <c r="G107" s="124"/>
      <c r="J107" s="187"/>
    </row>
    <row r="108" spans="1:11" ht="18" thickBot="1" x14ac:dyDescent="0.55000000000000004">
      <c r="A108" s="86" t="s">
        <v>304</v>
      </c>
      <c r="B108" s="89">
        <v>30</v>
      </c>
      <c r="C108" s="96">
        <v>0</v>
      </c>
      <c r="D108" s="157" t="s">
        <v>13</v>
      </c>
      <c r="E108" s="96" t="str">
        <f t="shared" si="15"/>
        <v xml:space="preserve"> </v>
      </c>
      <c r="F108" s="89" t="str">
        <f t="shared" si="16"/>
        <v/>
      </c>
      <c r="G108" s="124"/>
    </row>
    <row r="109" spans="1:11" ht="18" thickBot="1" x14ac:dyDescent="0.55000000000000004">
      <c r="A109" s="86" t="s">
        <v>159</v>
      </c>
      <c r="B109" s="89">
        <v>40</v>
      </c>
      <c r="C109" s="96">
        <v>0</v>
      </c>
      <c r="D109" s="157" t="s">
        <v>13</v>
      </c>
      <c r="E109" s="96" t="str">
        <f t="shared" si="15"/>
        <v xml:space="preserve"> </v>
      </c>
      <c r="F109" s="89" t="str">
        <f t="shared" si="16"/>
        <v/>
      </c>
      <c r="G109" s="87" t="str">
        <f t="shared" ref="G109" si="17">IF(D109="Continue","New roll to complete investment at current %"," ")</f>
        <v xml:space="preserve"> </v>
      </c>
    </row>
    <row r="110" spans="1:11" ht="18" thickBot="1" x14ac:dyDescent="0.55000000000000004">
      <c r="A110" s="86" t="s">
        <v>134</v>
      </c>
      <c r="B110" s="89">
        <v>40</v>
      </c>
      <c r="C110" s="96">
        <v>0</v>
      </c>
      <c r="D110" s="157" t="s">
        <v>13</v>
      </c>
      <c r="E110" s="96" t="str">
        <f t="shared" si="15"/>
        <v xml:space="preserve"> </v>
      </c>
      <c r="F110" s="89" t="str">
        <f t="shared" si="16"/>
        <v/>
      </c>
      <c r="G110" s="87"/>
    </row>
    <row r="111" spans="1:11" ht="18" thickBot="1" x14ac:dyDescent="0.55000000000000004">
      <c r="E111" s="127" t="s">
        <v>5</v>
      </c>
      <c r="F111" s="128">
        <f>SUM(F102:F109)</f>
        <v>0</v>
      </c>
      <c r="G111" s="87"/>
    </row>
    <row r="112" spans="1:11" ht="18" thickBot="1" x14ac:dyDescent="0.55000000000000004">
      <c r="D112" s="86"/>
      <c r="E112" s="129" t="s">
        <v>139</v>
      </c>
      <c r="F112" s="115">
        <f>H64-G81-F97-F111-F88</f>
        <v>310.58499999999998</v>
      </c>
    </row>
    <row r="114" spans="1:13" ht="18" thickBot="1" x14ac:dyDescent="0.55000000000000004">
      <c r="A114" s="117" t="s">
        <v>241</v>
      </c>
      <c r="B114" s="118"/>
      <c r="C114" s="118"/>
      <c r="D114" s="118"/>
      <c r="E114" s="118"/>
      <c r="F114" s="118"/>
      <c r="G114" s="118"/>
      <c r="H114" s="118"/>
      <c r="I114" s="118"/>
    </row>
    <row r="115" spans="1:13" ht="18" thickBot="1" x14ac:dyDescent="0.55000000000000004">
      <c r="A115" s="86" t="s">
        <v>135</v>
      </c>
      <c r="B115" s="86">
        <f>B62-E88</f>
        <v>0</v>
      </c>
      <c r="D115" s="86" t="s">
        <v>137</v>
      </c>
      <c r="E115" s="115">
        <f>F112</f>
        <v>310.58499999999998</v>
      </c>
    </row>
    <row r="116" spans="1:13" x14ac:dyDescent="0.5">
      <c r="A116" s="93"/>
      <c r="B116" s="125" t="str">
        <f>IF(B115&lt;0,"Not enough HI ava"," ")</f>
        <v xml:space="preserve"> </v>
      </c>
      <c r="D116" s="93"/>
      <c r="E116" s="95"/>
    </row>
    <row r="117" spans="1:13" ht="18" thickBot="1" x14ac:dyDescent="0.55000000000000004">
      <c r="B117" s="84" t="s">
        <v>127</v>
      </c>
    </row>
    <row r="118" spans="1:13" ht="18" thickBot="1" x14ac:dyDescent="0.55000000000000004">
      <c r="A118" s="86" t="s">
        <v>142</v>
      </c>
      <c r="B118" s="156">
        <v>0</v>
      </c>
    </row>
    <row r="119" spans="1:13" ht="18" thickBot="1" x14ac:dyDescent="0.55000000000000004">
      <c r="A119" s="86" t="s">
        <v>141</v>
      </c>
      <c r="B119" s="156">
        <v>0</v>
      </c>
    </row>
    <row r="120" spans="1:13" ht="18" thickBot="1" x14ac:dyDescent="0.55000000000000004">
      <c r="A120" s="86" t="s">
        <v>5</v>
      </c>
      <c r="B120" s="107">
        <f>B115-B118-B119</f>
        <v>0</v>
      </c>
      <c r="D120" s="84" t="str">
        <f>IF(B120&lt;0,"Total Exceeds ava HI points"," ")</f>
        <v xml:space="preserve"> </v>
      </c>
    </row>
    <row r="123" spans="1:13" ht="18" thickBot="1" x14ac:dyDescent="0.55000000000000004">
      <c r="A123" s="126" t="s">
        <v>142</v>
      </c>
    </row>
    <row r="124" spans="1:13" x14ac:dyDescent="0.5">
      <c r="A124" s="130" t="s">
        <v>143</v>
      </c>
      <c r="B124" s="131"/>
      <c r="C124" s="131"/>
      <c r="D124" s="131"/>
      <c r="E124" s="131"/>
      <c r="F124" s="131"/>
      <c r="G124" s="131"/>
      <c r="H124" s="131"/>
      <c r="I124" s="131"/>
      <c r="J124" s="131"/>
      <c r="K124" s="206" t="s">
        <v>154</v>
      </c>
      <c r="L124" s="202" t="s">
        <v>120</v>
      </c>
    </row>
    <row r="125" spans="1:13" ht="18" thickBot="1" x14ac:dyDescent="0.55000000000000004">
      <c r="A125" s="132" t="s">
        <v>144</v>
      </c>
      <c r="B125" s="133">
        <f>B118*8</f>
        <v>0</v>
      </c>
      <c r="C125" s="133" t="s">
        <v>149</v>
      </c>
      <c r="D125" s="133" t="s">
        <v>151</v>
      </c>
      <c r="E125" s="133" t="s">
        <v>150</v>
      </c>
      <c r="F125" s="133" t="s">
        <v>151</v>
      </c>
      <c r="G125" s="133" t="s">
        <v>152</v>
      </c>
      <c r="H125" s="133" t="s">
        <v>151</v>
      </c>
      <c r="I125" s="133" t="s">
        <v>153</v>
      </c>
      <c r="J125" s="133" t="s">
        <v>151</v>
      </c>
      <c r="K125" s="207"/>
      <c r="L125" s="203"/>
    </row>
    <row r="126" spans="1:13" ht="18" thickBot="1" x14ac:dyDescent="0.55000000000000004">
      <c r="A126" s="86" t="s">
        <v>145</v>
      </c>
      <c r="B126" s="150" t="str">
        <f>IF(B118&gt;0, 8," ")</f>
        <v xml:space="preserve"> </v>
      </c>
      <c r="C126" s="156"/>
      <c r="D126" s="157"/>
      <c r="E126" s="156"/>
      <c r="F126" s="157"/>
      <c r="G126" s="156"/>
      <c r="H126" s="157"/>
      <c r="I126" s="156"/>
      <c r="J126" s="157"/>
      <c r="K126" s="86">
        <f>C126+E126+(G126*2)+(I126*4)</f>
        <v>0</v>
      </c>
      <c r="L126" s="115">
        <f>Data!Q3</f>
        <v>0</v>
      </c>
      <c r="M126" s="92" t="str">
        <f>IF(K126&gt;8,"Need to reduce number of weapons ordered"," ")</f>
        <v xml:space="preserve"> </v>
      </c>
    </row>
    <row r="127" spans="1:13" ht="18" thickBot="1" x14ac:dyDescent="0.55000000000000004">
      <c r="A127" s="86" t="s">
        <v>146</v>
      </c>
      <c r="B127" s="150" t="str">
        <f>IF(B118&gt;1,8," ")</f>
        <v xml:space="preserve"> </v>
      </c>
      <c r="C127" s="156"/>
      <c r="D127" s="157"/>
      <c r="E127" s="156"/>
      <c r="F127" s="157"/>
      <c r="G127" s="156"/>
      <c r="H127" s="157"/>
      <c r="I127" s="156"/>
      <c r="J127" s="157"/>
      <c r="K127" s="86">
        <f>C127+E127+(G127*2)+(I127*4)</f>
        <v>0</v>
      </c>
      <c r="L127" s="115">
        <f>Data!Q4</f>
        <v>0</v>
      </c>
      <c r="M127" s="92" t="str">
        <f t="shared" ref="M127:M129" si="18">IF(K127&gt;8,"Need to reduce number of weapons ordered"," ")</f>
        <v xml:space="preserve"> </v>
      </c>
    </row>
    <row r="128" spans="1:13" ht="18" thickBot="1" x14ac:dyDescent="0.55000000000000004">
      <c r="A128" s="86" t="s">
        <v>147</v>
      </c>
      <c r="B128" s="150" t="str">
        <f>IF(B118&gt;2,8," ")</f>
        <v xml:space="preserve"> </v>
      </c>
      <c r="C128" s="156"/>
      <c r="D128" s="157"/>
      <c r="E128" s="156"/>
      <c r="F128" s="157"/>
      <c r="G128" s="156"/>
      <c r="H128" s="157"/>
      <c r="I128" s="156"/>
      <c r="J128" s="157"/>
      <c r="K128" s="86">
        <f>C128+E128+(G128*2)+(I128*4)</f>
        <v>0</v>
      </c>
      <c r="L128" s="115">
        <f>Data!Q5</f>
        <v>0</v>
      </c>
      <c r="M128" s="92" t="str">
        <f t="shared" si="18"/>
        <v xml:space="preserve"> </v>
      </c>
    </row>
    <row r="129" spans="1:13" ht="18" thickBot="1" x14ac:dyDescent="0.55000000000000004">
      <c r="A129" s="86" t="s">
        <v>148</v>
      </c>
      <c r="B129" s="150" t="str">
        <f>IF(B118&gt;3,8," ")</f>
        <v xml:space="preserve"> </v>
      </c>
      <c r="C129" s="156"/>
      <c r="D129" s="157"/>
      <c r="E129" s="156"/>
      <c r="F129" s="157"/>
      <c r="G129" s="156"/>
      <c r="H129" s="157"/>
      <c r="I129" s="156"/>
      <c r="J129" s="157"/>
      <c r="K129" s="86">
        <f>C129+E129+(G129*2)+(I129*4)</f>
        <v>0</v>
      </c>
      <c r="L129" s="115">
        <f>Data!Q6</f>
        <v>0</v>
      </c>
      <c r="M129" s="92" t="str">
        <f t="shared" si="18"/>
        <v xml:space="preserve"> </v>
      </c>
    </row>
    <row r="130" spans="1:13" ht="18" thickBot="1" x14ac:dyDescent="0.55000000000000004">
      <c r="K130" s="86" t="s">
        <v>5</v>
      </c>
      <c r="L130" s="115">
        <f>SUM(L126:L129)</f>
        <v>0</v>
      </c>
    </row>
    <row r="131" spans="1:13" x14ac:dyDescent="0.5">
      <c r="A131" s="84" t="s">
        <v>9</v>
      </c>
    </row>
    <row r="132" spans="1:13" x14ac:dyDescent="0.5">
      <c r="B132" s="118"/>
      <c r="C132" s="118"/>
      <c r="D132" s="118"/>
      <c r="E132" s="118"/>
      <c r="F132" s="118"/>
      <c r="G132" s="118"/>
      <c r="H132" s="118"/>
      <c r="I132" s="118"/>
    </row>
    <row r="133" spans="1:13" ht="18" thickBot="1" x14ac:dyDescent="0.55000000000000004">
      <c r="A133" s="117" t="s">
        <v>165</v>
      </c>
      <c r="B133" s="134"/>
      <c r="C133" s="134"/>
      <c r="D133" s="134"/>
      <c r="E133" s="134"/>
      <c r="F133" s="93"/>
      <c r="G133" s="93"/>
    </row>
    <row r="134" spans="1:13" ht="18" thickBot="1" x14ac:dyDescent="0.55000000000000004">
      <c r="A134" s="195"/>
      <c r="B134" s="195"/>
      <c r="C134" s="134"/>
      <c r="D134" s="86" t="s">
        <v>160</v>
      </c>
      <c r="E134" s="86" t="s">
        <v>161</v>
      </c>
      <c r="F134" s="86" t="s">
        <v>162</v>
      </c>
      <c r="G134" s="86" t="s">
        <v>163</v>
      </c>
      <c r="H134" s="86" t="s">
        <v>120</v>
      </c>
      <c r="I134" s="86" t="s">
        <v>164</v>
      </c>
    </row>
    <row r="135" spans="1:13" ht="18" thickBot="1" x14ac:dyDescent="0.55000000000000004">
      <c r="A135" s="195"/>
      <c r="B135" s="195"/>
      <c r="C135" s="134"/>
      <c r="D135" s="160">
        <v>0</v>
      </c>
      <c r="E135" s="160">
        <v>0</v>
      </c>
      <c r="F135" s="160">
        <v>0</v>
      </c>
      <c r="G135" s="160">
        <v>0</v>
      </c>
      <c r="H135" s="89">
        <f>(D135*Data!Q17)+(Data!Q18*E135)+(F135*Data!Q17)+(G135*Data!Q17)</f>
        <v>0</v>
      </c>
      <c r="I135" s="86">
        <f>(D135+E135+F135+G135)*200000</f>
        <v>0</v>
      </c>
    </row>
    <row r="138" spans="1:13" x14ac:dyDescent="0.5">
      <c r="A138" s="118"/>
      <c r="B138" s="118"/>
      <c r="C138" s="118"/>
      <c r="D138" s="118"/>
      <c r="E138" s="118"/>
      <c r="F138" s="118"/>
      <c r="G138" s="118"/>
      <c r="H138" s="118"/>
      <c r="I138" s="118"/>
    </row>
    <row r="139" spans="1:13" ht="18" thickBot="1" x14ac:dyDescent="0.55000000000000004">
      <c r="A139" s="122" t="s">
        <v>141</v>
      </c>
    </row>
    <row r="140" spans="1:13" ht="18" thickBot="1" x14ac:dyDescent="0.55000000000000004">
      <c r="A140" s="86" t="s">
        <v>166</v>
      </c>
      <c r="B140" s="86">
        <f>B119*20</f>
        <v>0</v>
      </c>
    </row>
    <row r="141" spans="1:13" ht="18" thickBot="1" x14ac:dyDescent="0.55000000000000004"/>
    <row r="142" spans="1:13" x14ac:dyDescent="0.5">
      <c r="A142" s="130"/>
      <c r="B142" s="131"/>
      <c r="C142" s="131"/>
      <c r="D142" s="131"/>
      <c r="E142" s="131"/>
      <c r="F142" s="206" t="s">
        <v>170</v>
      </c>
      <c r="G142" s="135"/>
    </row>
    <row r="143" spans="1:13" ht="18" thickBot="1" x14ac:dyDescent="0.55000000000000004">
      <c r="A143" s="132" t="s">
        <v>167</v>
      </c>
      <c r="B143" s="133" t="s">
        <v>168</v>
      </c>
      <c r="C143" s="133" t="s">
        <v>126</v>
      </c>
      <c r="D143" s="133" t="s">
        <v>169</v>
      </c>
      <c r="E143" s="133" t="s">
        <v>151</v>
      </c>
      <c r="F143" s="207"/>
      <c r="G143" s="136" t="s">
        <v>120</v>
      </c>
    </row>
    <row r="144" spans="1:13" ht="18" thickBot="1" x14ac:dyDescent="0.55000000000000004">
      <c r="A144" s="157"/>
      <c r="B144" s="86" t="str">
        <f t="shared" ref="B144:B149" si="19">IF(A144&gt;" ",(VLOOKUP(A144,Ship_size,2,FALSE))," ")</f>
        <v xml:space="preserve"> </v>
      </c>
      <c r="C144" s="86" t="str">
        <f t="shared" ref="C144:C149" si="20">IF(A144&gt;" ",(VLOOKUP(A144,Ship_size,3,FALSE))," ")</f>
        <v xml:space="preserve"> </v>
      </c>
      <c r="D144" s="157"/>
      <c r="E144" s="157"/>
      <c r="F144" s="86">
        <f>IF(A144&gt;" ",(B144*D144),0)</f>
        <v>0</v>
      </c>
      <c r="G144" s="115">
        <f>IF(A144&gt;" ",(VLOOKUP(A144,Ship_size,Data!E40,FALSE)*D144),0)</f>
        <v>0</v>
      </c>
      <c r="H144" s="87"/>
    </row>
    <row r="145" spans="1:8" ht="18" thickBot="1" x14ac:dyDescent="0.55000000000000004">
      <c r="A145" s="157"/>
      <c r="B145" s="86" t="str">
        <f t="shared" si="19"/>
        <v xml:space="preserve"> </v>
      </c>
      <c r="C145" s="86" t="str">
        <f t="shared" si="20"/>
        <v xml:space="preserve"> </v>
      </c>
      <c r="D145" s="157"/>
      <c r="E145" s="157"/>
      <c r="F145" s="86">
        <f t="shared" ref="F145:F147" si="21">IF(A145&gt;" ",(B145*D145),0)</f>
        <v>0</v>
      </c>
      <c r="G145" s="115">
        <f>IF(A145&gt;" ",(VLOOKUP(A145,Ship_size,Data!E41,FALSE)*D145),0)</f>
        <v>0</v>
      </c>
      <c r="H145" s="87"/>
    </row>
    <row r="146" spans="1:8" ht="18" thickBot="1" x14ac:dyDescent="0.55000000000000004">
      <c r="A146" s="157"/>
      <c r="B146" s="86" t="str">
        <f t="shared" si="19"/>
        <v xml:space="preserve"> </v>
      </c>
      <c r="C146" s="86" t="str">
        <f t="shared" si="20"/>
        <v xml:space="preserve"> </v>
      </c>
      <c r="D146" s="157"/>
      <c r="E146" s="157"/>
      <c r="F146" s="86">
        <f t="shared" si="21"/>
        <v>0</v>
      </c>
      <c r="G146" s="115">
        <f>IF(A146&gt;" ",(VLOOKUP(A146,Ship_size,Data!E42,FALSE)*D146),0)</f>
        <v>0</v>
      </c>
      <c r="H146" s="87"/>
    </row>
    <row r="147" spans="1:8" ht="18" thickBot="1" x14ac:dyDescent="0.55000000000000004">
      <c r="A147" s="157"/>
      <c r="B147" s="86" t="str">
        <f t="shared" si="19"/>
        <v xml:space="preserve"> </v>
      </c>
      <c r="C147" s="86" t="str">
        <f t="shared" si="20"/>
        <v xml:space="preserve"> </v>
      </c>
      <c r="D147" s="157"/>
      <c r="E147" s="157"/>
      <c r="F147" s="86">
        <f t="shared" si="21"/>
        <v>0</v>
      </c>
      <c r="G147" s="115">
        <f>IF(A147&gt;" ",(VLOOKUP(A147,Ship_size,Data!E43,FALSE)*D147),0)</f>
        <v>0</v>
      </c>
      <c r="H147" s="87"/>
    </row>
    <row r="148" spans="1:8" ht="18" thickBot="1" x14ac:dyDescent="0.55000000000000004">
      <c r="A148" s="157"/>
      <c r="B148" s="86" t="str">
        <f t="shared" si="19"/>
        <v xml:space="preserve"> </v>
      </c>
      <c r="C148" s="86" t="str">
        <f t="shared" si="20"/>
        <v xml:space="preserve"> </v>
      </c>
      <c r="D148" s="157"/>
      <c r="E148" s="157"/>
      <c r="F148" s="86">
        <f t="shared" ref="F148:F149" si="22">IF(A148&gt;" ",(B148*D148),0)</f>
        <v>0</v>
      </c>
      <c r="G148" s="115">
        <f>IF(A148&gt;" ",(VLOOKUP(A148,Ship_size,Data!E44,FALSE)*D148),0)</f>
        <v>0</v>
      </c>
      <c r="H148" s="137"/>
    </row>
    <row r="149" spans="1:8" ht="18" thickBot="1" x14ac:dyDescent="0.55000000000000004">
      <c r="A149" s="157"/>
      <c r="B149" s="86" t="str">
        <f t="shared" si="19"/>
        <v xml:space="preserve"> </v>
      </c>
      <c r="C149" s="86" t="str">
        <f t="shared" si="20"/>
        <v xml:space="preserve"> </v>
      </c>
      <c r="D149" s="157"/>
      <c r="E149" s="157"/>
      <c r="F149" s="86">
        <f t="shared" si="22"/>
        <v>0</v>
      </c>
      <c r="G149" s="115">
        <f>IF(A149&gt;" ",(VLOOKUP(A149,Ship_size,Data!E45,FALSE)*D149),0)</f>
        <v>0</v>
      </c>
    </row>
    <row r="150" spans="1:8" ht="18" thickBot="1" x14ac:dyDescent="0.55000000000000004">
      <c r="C150" s="138" t="s">
        <v>9</v>
      </c>
      <c r="D150" s="139" t="s">
        <v>9</v>
      </c>
      <c r="E150" s="86" t="s">
        <v>5</v>
      </c>
      <c r="F150" s="86">
        <f>SUM(F144:F149)</f>
        <v>0</v>
      </c>
      <c r="G150" s="115">
        <f>SUM(G144:G149)</f>
        <v>0</v>
      </c>
      <c r="H150" s="92" t="str">
        <f>IF(F150&gt;B140,"Ship sizes used exceeds number of ship sizes ava"," ")</f>
        <v xml:space="preserve"> </v>
      </c>
    </row>
    <row r="152" spans="1:8" ht="18" thickBot="1" x14ac:dyDescent="0.55000000000000004">
      <c r="A152" s="84" t="s">
        <v>9</v>
      </c>
    </row>
    <row r="153" spans="1:8" x14ac:dyDescent="0.5">
      <c r="A153" s="130"/>
      <c r="B153" s="131"/>
      <c r="C153" s="131"/>
      <c r="D153" s="131"/>
      <c r="E153" s="131"/>
      <c r="F153" s="206"/>
      <c r="G153" s="135"/>
    </row>
    <row r="154" spans="1:8" ht="18" thickBot="1" x14ac:dyDescent="0.55000000000000004">
      <c r="A154" s="132" t="s">
        <v>177</v>
      </c>
      <c r="B154" s="133" t="s">
        <v>151</v>
      </c>
      <c r="C154" s="133" t="s">
        <v>169</v>
      </c>
      <c r="D154" s="140" t="s">
        <v>178</v>
      </c>
      <c r="E154" s="133"/>
      <c r="F154" s="207"/>
      <c r="G154" s="136"/>
    </row>
    <row r="155" spans="1:8" ht="18" thickBot="1" x14ac:dyDescent="0.55000000000000004">
      <c r="A155" s="86"/>
      <c r="B155" s="86"/>
      <c r="C155" s="86"/>
      <c r="D155" s="86"/>
    </row>
    <row r="156" spans="1:8" ht="18" thickBot="1" x14ac:dyDescent="0.55000000000000004">
      <c r="A156" s="86"/>
      <c r="B156" s="86"/>
      <c r="C156" s="86"/>
      <c r="D156" s="86"/>
    </row>
    <row r="157" spans="1:8" ht="18" thickBot="1" x14ac:dyDescent="0.55000000000000004">
      <c r="A157" s="86"/>
      <c r="B157" s="86"/>
      <c r="C157" s="86"/>
      <c r="D157" s="86"/>
    </row>
    <row r="158" spans="1:8" ht="18" thickBot="1" x14ac:dyDescent="0.55000000000000004">
      <c r="A158" s="86"/>
      <c r="B158" s="86"/>
      <c r="C158" s="86"/>
      <c r="D158" s="86"/>
    </row>
    <row r="159" spans="1:8" ht="18" thickBot="1" x14ac:dyDescent="0.55000000000000004">
      <c r="F159" s="86" t="s">
        <v>5</v>
      </c>
      <c r="G159" s="89">
        <v>0</v>
      </c>
    </row>
    <row r="161" spans="1:14" ht="18" thickBot="1" x14ac:dyDescent="0.55000000000000004">
      <c r="A161" s="141" t="s">
        <v>179</v>
      </c>
      <c r="B161" s="142"/>
      <c r="C161" s="142"/>
      <c r="D161" s="142"/>
      <c r="E161" s="142"/>
      <c r="F161" s="142"/>
      <c r="G161" s="142"/>
    </row>
    <row r="162" spans="1:14" ht="18" thickBot="1" x14ac:dyDescent="0.55000000000000004">
      <c r="A162" s="143" t="s">
        <v>181</v>
      </c>
      <c r="B162" s="143" t="s">
        <v>180</v>
      </c>
      <c r="C162" s="143" t="s">
        <v>120</v>
      </c>
    </row>
    <row r="163" spans="1:14" ht="18" thickBot="1" x14ac:dyDescent="0.55000000000000004">
      <c r="A163" s="161"/>
      <c r="B163" s="161"/>
      <c r="C163" s="115" t="str">
        <f>IF(B163&gt;0,(VLOOKUP(B163,MilitaryB_cost,2,FALSE))," ")</f>
        <v xml:space="preserve"> </v>
      </c>
    </row>
    <row r="164" spans="1:14" ht="18" thickBot="1" x14ac:dyDescent="0.55000000000000004">
      <c r="A164" s="161"/>
      <c r="B164" s="161"/>
      <c r="C164" s="115" t="str">
        <f>IF(B164&gt;0,(VLOOKUP(B164,MilitaryB_cost,2,FALSE))," ")</f>
        <v xml:space="preserve"> </v>
      </c>
    </row>
    <row r="165" spans="1:14" ht="18" thickBot="1" x14ac:dyDescent="0.55000000000000004">
      <c r="A165" s="161"/>
      <c r="B165" s="161"/>
      <c r="C165" s="115" t="str">
        <f>IF(B165&gt;0,(VLOOKUP(B165,MilitaryB_cost,2,FALSE))," ")</f>
        <v xml:space="preserve"> </v>
      </c>
    </row>
    <row r="166" spans="1:14" ht="18" thickBot="1" x14ac:dyDescent="0.55000000000000004">
      <c r="A166" s="161"/>
      <c r="B166" s="161"/>
      <c r="C166" s="115" t="str">
        <f>IF(B166&gt;0,(VLOOKUP(B166,MilitaryB_cost,2,FALSE))," ")</f>
        <v xml:space="preserve"> </v>
      </c>
    </row>
    <row r="167" spans="1:14" ht="18" thickBot="1" x14ac:dyDescent="0.55000000000000004">
      <c r="B167" s="86" t="s">
        <v>44</v>
      </c>
      <c r="C167" s="115">
        <f>SUM(C163:C166)</f>
        <v>0</v>
      </c>
    </row>
    <row r="170" spans="1:14" x14ac:dyDescent="0.5">
      <c r="B170" s="118"/>
      <c r="C170" s="118"/>
      <c r="D170" s="118"/>
      <c r="E170" s="118"/>
      <c r="F170" s="118"/>
      <c r="G170" s="118"/>
      <c r="H170" s="118"/>
      <c r="I170" s="118"/>
    </row>
    <row r="171" spans="1:14" ht="18" thickBot="1" x14ac:dyDescent="0.55000000000000004">
      <c r="A171" s="117" t="s">
        <v>182</v>
      </c>
    </row>
    <row r="172" spans="1:14" ht="18" thickBot="1" x14ac:dyDescent="0.55000000000000004">
      <c r="A172" s="191" t="s">
        <v>183</v>
      </c>
      <c r="B172" s="192"/>
      <c r="C172" s="192"/>
      <c r="D172" s="192"/>
      <c r="E172" s="192"/>
      <c r="F172" s="193"/>
      <c r="G172" s="144" t="s">
        <v>184</v>
      </c>
      <c r="N172" s="145"/>
    </row>
    <row r="173" spans="1:14" ht="19.5" customHeight="1" thickBot="1" x14ac:dyDescent="0.55000000000000004">
      <c r="A173" s="208"/>
      <c r="B173" s="209"/>
      <c r="C173" s="209"/>
      <c r="D173" s="209"/>
      <c r="E173" s="209"/>
      <c r="F173" s="210"/>
      <c r="G173" s="159"/>
    </row>
    <row r="174" spans="1:14" ht="18" thickBot="1" x14ac:dyDescent="0.55000000000000004">
      <c r="A174" s="208"/>
      <c r="B174" s="209"/>
      <c r="C174" s="209"/>
      <c r="D174" s="209"/>
      <c r="E174" s="209"/>
      <c r="F174" s="210"/>
      <c r="G174" s="159"/>
    </row>
    <row r="175" spans="1:14" ht="19.5" customHeight="1" thickBot="1" x14ac:dyDescent="0.55000000000000004">
      <c r="A175" s="208"/>
      <c r="B175" s="209"/>
      <c r="C175" s="209"/>
      <c r="D175" s="209"/>
      <c r="E175" s="209"/>
      <c r="F175" s="210"/>
      <c r="G175" s="159"/>
    </row>
    <row r="176" spans="1:14" ht="19.5" customHeight="1" thickBot="1" x14ac:dyDescent="0.55000000000000004">
      <c r="A176" s="208"/>
      <c r="B176" s="209"/>
      <c r="C176" s="209"/>
      <c r="D176" s="209"/>
      <c r="E176" s="209"/>
      <c r="F176" s="210"/>
      <c r="G176" s="159"/>
    </row>
    <row r="177" spans="1:7" ht="19.5" customHeight="1" thickBot="1" x14ac:dyDescent="0.55000000000000004">
      <c r="A177" s="208"/>
      <c r="B177" s="209"/>
      <c r="C177" s="209"/>
      <c r="D177" s="209"/>
      <c r="E177" s="209"/>
      <c r="F177" s="210"/>
      <c r="G177" s="159"/>
    </row>
    <row r="178" spans="1:7" ht="19.5" customHeight="1" thickBot="1" x14ac:dyDescent="0.55000000000000004">
      <c r="A178" s="208"/>
      <c r="B178" s="209"/>
      <c r="C178" s="209"/>
      <c r="D178" s="209"/>
      <c r="E178" s="209"/>
      <c r="F178" s="210"/>
      <c r="G178" s="159"/>
    </row>
    <row r="179" spans="1:7" ht="19.5" customHeight="1" thickBot="1" x14ac:dyDescent="0.55000000000000004">
      <c r="A179" s="208"/>
      <c r="B179" s="209"/>
      <c r="C179" s="209"/>
      <c r="D179" s="209"/>
      <c r="E179" s="209"/>
      <c r="F179" s="210"/>
      <c r="G179" s="159"/>
    </row>
    <row r="180" spans="1:7" ht="19.5" customHeight="1" thickBot="1" x14ac:dyDescent="0.55000000000000004">
      <c r="A180" s="208"/>
      <c r="B180" s="209"/>
      <c r="C180" s="209"/>
      <c r="D180" s="209"/>
      <c r="E180" s="209"/>
      <c r="F180" s="210"/>
      <c r="G180" s="159"/>
    </row>
    <row r="181" spans="1:7" ht="19.5" customHeight="1" thickBot="1" x14ac:dyDescent="0.55000000000000004">
      <c r="A181" s="208"/>
      <c r="B181" s="209"/>
      <c r="C181" s="209"/>
      <c r="D181" s="209"/>
      <c r="E181" s="209"/>
      <c r="F181" s="210"/>
      <c r="G181" s="159"/>
    </row>
    <row r="182" spans="1:7" ht="19.5" customHeight="1" thickBot="1" x14ac:dyDescent="0.55000000000000004">
      <c r="A182" s="208"/>
      <c r="B182" s="209"/>
      <c r="C182" s="209"/>
      <c r="D182" s="209"/>
      <c r="E182" s="209"/>
      <c r="F182" s="210"/>
      <c r="G182" s="159"/>
    </row>
    <row r="183" spans="1:7" ht="18" thickBot="1" x14ac:dyDescent="0.55000000000000004">
      <c r="A183" s="208"/>
      <c r="B183" s="209"/>
      <c r="C183" s="209"/>
      <c r="D183" s="209"/>
      <c r="E183" s="209"/>
      <c r="F183" s="210"/>
      <c r="G183" s="159"/>
    </row>
    <row r="184" spans="1:7" ht="18" thickBot="1" x14ac:dyDescent="0.55000000000000004">
      <c r="A184" s="216"/>
      <c r="B184" s="217"/>
      <c r="C184" s="217"/>
      <c r="D184" s="217"/>
      <c r="E184" s="217"/>
      <c r="F184" s="218"/>
      <c r="G184" s="159"/>
    </row>
    <row r="185" spans="1:7" ht="18" thickBot="1" x14ac:dyDescent="0.55000000000000004">
      <c r="A185" s="208"/>
      <c r="B185" s="209"/>
      <c r="C185" s="209"/>
      <c r="D185" s="209"/>
      <c r="E185" s="209"/>
      <c r="F185" s="210"/>
      <c r="G185" s="162"/>
    </row>
    <row r="186" spans="1:7" ht="18" thickBot="1" x14ac:dyDescent="0.55000000000000004">
      <c r="A186" s="208"/>
      <c r="B186" s="209"/>
      <c r="C186" s="209"/>
      <c r="D186" s="209"/>
      <c r="E186" s="209"/>
      <c r="F186" s="210"/>
      <c r="G186" s="162"/>
    </row>
    <row r="187" spans="1:7" ht="18" thickBot="1" x14ac:dyDescent="0.55000000000000004">
      <c r="A187" s="213"/>
      <c r="B187" s="214"/>
      <c r="C187" s="214"/>
      <c r="D187" s="214"/>
      <c r="E187" s="214"/>
      <c r="F187" s="215"/>
      <c r="G187" s="162"/>
    </row>
    <row r="188" spans="1:7" ht="18" thickBot="1" x14ac:dyDescent="0.55000000000000004">
      <c r="A188" s="208"/>
      <c r="B188" s="209"/>
      <c r="C188" s="209"/>
      <c r="D188" s="209"/>
      <c r="E188" s="209"/>
      <c r="F188" s="210"/>
      <c r="G188" s="159"/>
    </row>
    <row r="189" spans="1:7" ht="18" thickBot="1" x14ac:dyDescent="0.55000000000000004">
      <c r="A189" s="208"/>
      <c r="B189" s="209"/>
      <c r="C189" s="209"/>
      <c r="D189" s="209"/>
      <c r="E189" s="209"/>
      <c r="F189" s="210"/>
      <c r="G189" s="159"/>
    </row>
    <row r="190" spans="1:7" ht="18" thickBot="1" x14ac:dyDescent="0.55000000000000004">
      <c r="A190" s="213"/>
      <c r="B190" s="214"/>
      <c r="C190" s="214"/>
      <c r="D190" s="214"/>
      <c r="E190" s="214"/>
      <c r="F190" s="215"/>
      <c r="G190" s="159"/>
    </row>
    <row r="191" spans="1:7" ht="18" thickBot="1" x14ac:dyDescent="0.55000000000000004">
      <c r="A191" s="208"/>
      <c r="B191" s="214"/>
      <c r="C191" s="214"/>
      <c r="D191" s="214"/>
      <c r="E191" s="214"/>
      <c r="F191" s="215"/>
      <c r="G191" s="159"/>
    </row>
    <row r="192" spans="1:7" ht="41.25" customHeight="1" thickBot="1" x14ac:dyDescent="0.55000000000000004"/>
    <row r="193" spans="5:7" ht="18" thickBot="1" x14ac:dyDescent="0.55000000000000004">
      <c r="F193" s="86" t="s">
        <v>5</v>
      </c>
      <c r="G193" s="115">
        <f>SUM(G173:G191)</f>
        <v>0</v>
      </c>
    </row>
    <row r="194" spans="5:7" ht="18" thickBot="1" x14ac:dyDescent="0.55000000000000004"/>
    <row r="195" spans="5:7" ht="18" thickBot="1" x14ac:dyDescent="0.55000000000000004">
      <c r="E195" s="191" t="s">
        <v>111</v>
      </c>
      <c r="F195" s="193"/>
      <c r="G195" s="115">
        <f>E115-L130-H135-G150-G159-C167-G193</f>
        <v>310.58499999999998</v>
      </c>
    </row>
  </sheetData>
  <sheetProtection algorithmName="SHA-512" hashValue="eaXeASjbW2+ByLqCkOyRdjVHFTYMXqHAx9XRYajiieSRPYBq6JxQroHedgnfB3yxec6Wux3ukBExtU7Wxll71g==" saltValue="DW8VLhSHKb3fNuuYsGm5MQ==" spinCount="100000" sheet="1" objects="1" scenarios="1"/>
  <dataConsolidate/>
  <mergeCells count="51">
    <mergeCell ref="A1:P1"/>
    <mergeCell ref="A66:P66"/>
    <mergeCell ref="A185:F185"/>
    <mergeCell ref="A188:F188"/>
    <mergeCell ref="A184:F184"/>
    <mergeCell ref="A172:F172"/>
    <mergeCell ref="A173:F173"/>
    <mergeCell ref="A176:F176"/>
    <mergeCell ref="A179:F179"/>
    <mergeCell ref="A181:F181"/>
    <mergeCell ref="A180:F180"/>
    <mergeCell ref="A175:F175"/>
    <mergeCell ref="A177:F177"/>
    <mergeCell ref="A178:F178"/>
    <mergeCell ref="G69:G70"/>
    <mergeCell ref="F69:F70"/>
    <mergeCell ref="A189:F189"/>
    <mergeCell ref="A190:F190"/>
    <mergeCell ref="A186:F186"/>
    <mergeCell ref="A187:F187"/>
    <mergeCell ref="E195:F195"/>
    <mergeCell ref="A191:F191"/>
    <mergeCell ref="E69:E70"/>
    <mergeCell ref="L124:L125"/>
    <mergeCell ref="H69:H70"/>
    <mergeCell ref="K124:K125"/>
    <mergeCell ref="A183:F183"/>
    <mergeCell ref="A174:F174"/>
    <mergeCell ref="F142:F143"/>
    <mergeCell ref="F153:F154"/>
    <mergeCell ref="A182:F182"/>
    <mergeCell ref="A134:B135"/>
    <mergeCell ref="A69:A70"/>
    <mergeCell ref="D69:D70"/>
    <mergeCell ref="C69:C70"/>
    <mergeCell ref="B69:B70"/>
    <mergeCell ref="J39:M39"/>
    <mergeCell ref="B39:D39"/>
    <mergeCell ref="A18:P18"/>
    <mergeCell ref="A7:B7"/>
    <mergeCell ref="A37:P37"/>
    <mergeCell ref="G12:H12"/>
    <mergeCell ref="G13:H13"/>
    <mergeCell ref="K11:K12"/>
    <mergeCell ref="I20:N20"/>
    <mergeCell ref="K21:L21"/>
    <mergeCell ref="M21:N21"/>
    <mergeCell ref="G7:H7"/>
    <mergeCell ref="G8:H8"/>
    <mergeCell ref="D12:D13"/>
    <mergeCell ref="O29:Q29"/>
  </mergeCells>
  <phoneticPr fontId="14" type="noConversion"/>
  <dataValidations count="7">
    <dataValidation type="list" showInputMessage="1" showErrorMessage="1" sqref="D84:D87 G93:G96" xr:uid="{00000000-0002-0000-0000-000000000000}">
      <formula1>Yes_No</formula1>
    </dataValidation>
    <dataValidation type="list" showInputMessage="1" showErrorMessage="1" sqref="D126:D129 F126:F129 H126:H129 J126:J129 B155:B158 E144:E149" xr:uid="{00000000-0002-0000-0000-000001000000}">
      <formula1>Weapon_Quality</formula1>
    </dataValidation>
    <dataValidation type="list" showInputMessage="1" showErrorMessage="1" sqref="A155:A158 A144:A149" xr:uid="{00000000-0002-0000-0000-000002000000}">
      <formula1>Ship_types</formula1>
    </dataValidation>
    <dataValidation type="list" allowBlank="1" showInputMessage="1" showErrorMessage="1" sqref="B6" xr:uid="{00000000-0002-0000-0000-000004000000}">
      <formula1>Econ_level</formula1>
    </dataValidation>
    <dataValidation type="list" showInputMessage="1" showErrorMessage="1" sqref="D102:D110 D71:D80" xr:uid="{00000000-0002-0000-0000-000005000000}">
      <formula1>Invest_option</formula1>
    </dataValidation>
    <dataValidation type="list" showInputMessage="1" showErrorMessage="1" sqref="B163:B166" xr:uid="{00000000-0002-0000-0000-000003000000}">
      <formula1>Mil_Buildings</formula1>
    </dataValidation>
    <dataValidation showInputMessage="1" showErrorMessage="1" sqref="H71:H80" xr:uid="{34E55BD4-9165-4095-923E-D45A826A78B9}"/>
  </dataValidations>
  <pageMargins left="0.7" right="0.7" top="0.75" bottom="0.75" header="0.3" footer="0.3"/>
  <pageSetup orientation="portrait" r:id="rId1"/>
  <ignoredErrors>
    <ignoredError sqref="E25" 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108ECA7-21BA-44BA-9BFC-194FD0CB5C9B}">
          <x14:formula1>
            <xm:f>Ferrocarriles!$G$5:$G$10</xm:f>
          </x14:formula1>
          <xm:sqref>A84:A87</xm:sqref>
        </x14:dataValidation>
        <x14:dataValidation type="list" allowBlank="1" showInputMessage="1" showErrorMessage="1" xr:uid="{F196BBCD-2365-4119-8A5C-A53F94849861}">
          <x14:formula1>
            <xm:f>Colonias!$B$36:$B$43</xm:f>
          </x14:formula1>
          <xm:sqref>A77:A80</xm:sqref>
        </x14:dataValidation>
        <x14:dataValidation type="list" allowBlank="1" showInputMessage="1" showErrorMessage="1" xr:uid="{5420CF0E-7C52-4C3C-9C83-982BF7D9F8F7}">
          <x14:formula1>
            <xm:f>Colonias!$B$36:$B$53</xm:f>
          </x14:formula1>
          <xm:sqref>A76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102"/>
  <sheetViews>
    <sheetView showGridLines="0" workbookViewId="0"/>
  </sheetViews>
  <sheetFormatPr defaultColWidth="9.1328125" defaultRowHeight="15.4" x14ac:dyDescent="0.45"/>
  <cols>
    <col min="1" max="1" width="16.53125" style="20" customWidth="1"/>
    <col min="2" max="2" width="11.86328125" style="20" customWidth="1"/>
    <col min="3" max="3" width="9.86328125" style="20" customWidth="1"/>
    <col min="4" max="5" width="9.1328125" style="20"/>
    <col min="6" max="6" width="10.6640625" style="20" customWidth="1"/>
    <col min="7" max="7" width="12.3984375" style="20" customWidth="1"/>
    <col min="8" max="8" width="10.53125" style="20" customWidth="1"/>
    <col min="9" max="10" width="9.1328125" style="20"/>
    <col min="11" max="11" width="11.6640625" style="20" customWidth="1"/>
    <col min="12" max="12" width="10.6640625" style="20" customWidth="1"/>
    <col min="13" max="13" width="13" style="20" customWidth="1"/>
    <col min="14" max="14" width="10.53125" style="20" customWidth="1"/>
    <col min="15" max="15" width="9.1328125" style="20"/>
    <col min="16" max="16" width="10" style="20" customWidth="1"/>
    <col min="17" max="16384" width="9.1328125" style="20"/>
  </cols>
  <sheetData>
    <row r="2" spans="1:20" x14ac:dyDescent="0.45">
      <c r="A2" s="252" t="s">
        <v>190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</row>
    <row r="5" spans="1:20" ht="15.75" thickBot="1" x14ac:dyDescent="0.5">
      <c r="A5" s="83" t="s">
        <v>191</v>
      </c>
    </row>
    <row r="6" spans="1:20" ht="15.75" thickBot="1" x14ac:dyDescent="0.5">
      <c r="A6" s="50"/>
      <c r="B6" s="221" t="s">
        <v>160</v>
      </c>
      <c r="C6" s="221" t="s">
        <v>151</v>
      </c>
      <c r="D6" s="221" t="s">
        <v>189</v>
      </c>
      <c r="E6" s="221" t="s">
        <v>151</v>
      </c>
      <c r="F6" s="221" t="s">
        <v>150</v>
      </c>
      <c r="G6" s="221" t="s">
        <v>151</v>
      </c>
      <c r="H6" s="221" t="s">
        <v>152</v>
      </c>
      <c r="I6" s="221" t="s">
        <v>151</v>
      </c>
      <c r="J6" s="221" t="s">
        <v>153</v>
      </c>
      <c r="K6" s="245" t="s">
        <v>151</v>
      </c>
      <c r="N6" s="219" t="s">
        <v>192</v>
      </c>
      <c r="O6" s="219"/>
      <c r="P6" s="219"/>
    </row>
    <row r="7" spans="1:20" ht="15.75" thickBot="1" x14ac:dyDescent="0.5">
      <c r="A7" s="51" t="s">
        <v>181</v>
      </c>
      <c r="B7" s="222"/>
      <c r="C7" s="222"/>
      <c r="D7" s="222"/>
      <c r="E7" s="222"/>
      <c r="F7" s="222"/>
      <c r="G7" s="222"/>
      <c r="H7" s="222"/>
      <c r="I7" s="222"/>
      <c r="J7" s="222"/>
      <c r="K7" s="246"/>
      <c r="N7" s="7"/>
      <c r="O7" s="49" t="s">
        <v>120</v>
      </c>
      <c r="P7" s="49" t="s">
        <v>194</v>
      </c>
    </row>
    <row r="8" spans="1:20" ht="15.75" thickBot="1" x14ac:dyDescent="0.5">
      <c r="A8" s="49" t="s">
        <v>246</v>
      </c>
      <c r="B8" s="49">
        <v>19</v>
      </c>
      <c r="C8" s="49" t="s">
        <v>26</v>
      </c>
      <c r="D8" s="49">
        <v>10</v>
      </c>
      <c r="E8" s="49" t="s">
        <v>26</v>
      </c>
      <c r="F8" s="49">
        <v>9</v>
      </c>
      <c r="G8" s="49" t="s">
        <v>26</v>
      </c>
      <c r="H8" s="49">
        <v>5</v>
      </c>
      <c r="I8" s="49" t="s">
        <v>26</v>
      </c>
      <c r="J8" s="49">
        <v>2</v>
      </c>
      <c r="K8" s="49" t="s">
        <v>26</v>
      </c>
      <c r="N8" s="49" t="s">
        <v>193</v>
      </c>
      <c r="O8" s="7"/>
      <c r="P8" s="52">
        <f>B37/1000000</f>
        <v>9.4</v>
      </c>
    </row>
    <row r="9" spans="1:20" ht="15.75" thickBot="1" x14ac:dyDescent="0.5">
      <c r="A9" s="152" t="s">
        <v>246</v>
      </c>
      <c r="B9" s="49"/>
      <c r="C9" s="49"/>
      <c r="D9" s="49">
        <v>20</v>
      </c>
      <c r="E9" s="49" t="s">
        <v>27</v>
      </c>
      <c r="F9" s="49"/>
      <c r="G9" s="49"/>
      <c r="H9" s="49">
        <v>3</v>
      </c>
      <c r="I9" s="49" t="s">
        <v>27</v>
      </c>
      <c r="J9" s="49">
        <v>2</v>
      </c>
      <c r="K9" s="49" t="s">
        <v>27</v>
      </c>
      <c r="N9" s="49" t="s">
        <v>141</v>
      </c>
      <c r="O9" s="53">
        <f>B65</f>
        <v>41</v>
      </c>
      <c r="P9" s="49">
        <f>B66</f>
        <v>0.82000000000000006</v>
      </c>
    </row>
    <row r="10" spans="1:20" ht="15.75" thickBot="1" x14ac:dyDescent="0.5">
      <c r="A10" s="49" t="s">
        <v>250</v>
      </c>
      <c r="B10" s="49">
        <v>1</v>
      </c>
      <c r="C10" s="49" t="s">
        <v>26</v>
      </c>
      <c r="D10" s="49"/>
      <c r="E10" s="49"/>
      <c r="F10" s="49">
        <v>1</v>
      </c>
      <c r="G10" s="49"/>
      <c r="H10" s="49"/>
      <c r="I10" s="49"/>
      <c r="J10" s="49"/>
      <c r="K10" s="49"/>
      <c r="N10" s="7"/>
      <c r="O10" s="54"/>
      <c r="P10" s="7"/>
    </row>
    <row r="11" spans="1:20" ht="15.75" thickBot="1" x14ac:dyDescent="0.5">
      <c r="A11" s="49" t="s">
        <v>256</v>
      </c>
      <c r="B11" s="49" t="s">
        <v>251</v>
      </c>
      <c r="C11" s="49" t="s">
        <v>26</v>
      </c>
      <c r="D11" s="49"/>
      <c r="E11" s="49"/>
      <c r="F11" s="49"/>
      <c r="G11" s="49"/>
      <c r="H11" s="49"/>
      <c r="I11" s="49"/>
      <c r="J11" s="49"/>
      <c r="K11" s="49"/>
      <c r="N11" s="49" t="s">
        <v>195</v>
      </c>
      <c r="O11" s="53">
        <f>B99</f>
        <v>54</v>
      </c>
      <c r="P11" s="7"/>
    </row>
    <row r="12" spans="1:20" ht="15.75" thickBot="1" x14ac:dyDescent="0.5">
      <c r="A12" s="49" t="s">
        <v>254</v>
      </c>
      <c r="B12" s="49" t="s">
        <v>251</v>
      </c>
      <c r="C12" s="49" t="s">
        <v>26</v>
      </c>
      <c r="D12" s="49"/>
      <c r="E12" s="49"/>
      <c r="F12" s="49"/>
      <c r="G12" s="49"/>
      <c r="H12" s="49"/>
      <c r="I12" s="49"/>
      <c r="J12" s="49"/>
      <c r="K12" s="49"/>
      <c r="N12" s="49" t="s">
        <v>46</v>
      </c>
      <c r="O12" s="53">
        <f>SUM(O9:O11)</f>
        <v>95</v>
      </c>
      <c r="P12" s="52">
        <f>P8+P9</f>
        <v>10.220000000000001</v>
      </c>
    </row>
    <row r="13" spans="1:20" ht="15.75" thickBot="1" x14ac:dyDescent="0.5">
      <c r="A13" s="49" t="s">
        <v>252</v>
      </c>
      <c r="B13" s="49" t="s">
        <v>251</v>
      </c>
      <c r="C13" s="49"/>
      <c r="D13" s="49"/>
      <c r="E13" s="49"/>
      <c r="F13" s="49"/>
      <c r="G13" s="49"/>
      <c r="H13" s="49"/>
      <c r="I13" s="49"/>
      <c r="J13" s="49"/>
      <c r="K13" s="49"/>
      <c r="N13" s="35"/>
      <c r="O13" s="15"/>
      <c r="P13" s="16"/>
    </row>
    <row r="14" spans="1:20" ht="15.75" thickBot="1" x14ac:dyDescent="0.5">
      <c r="A14" s="49" t="s">
        <v>255</v>
      </c>
      <c r="B14" s="49" t="s">
        <v>251</v>
      </c>
      <c r="C14" s="49"/>
      <c r="D14" s="49"/>
      <c r="E14" s="49"/>
      <c r="F14" s="49"/>
      <c r="G14" s="49"/>
      <c r="H14" s="49"/>
      <c r="I14" s="49"/>
      <c r="J14" s="49"/>
      <c r="K14" s="49"/>
      <c r="L14" s="44"/>
      <c r="N14" s="35"/>
      <c r="O14" s="15"/>
      <c r="P14" s="16"/>
    </row>
    <row r="15" spans="1:20" ht="15.75" thickBot="1" x14ac:dyDescent="0.5">
      <c r="A15" s="49" t="s">
        <v>253</v>
      </c>
      <c r="B15" s="49" t="s">
        <v>251</v>
      </c>
      <c r="C15" s="49" t="s">
        <v>26</v>
      </c>
      <c r="D15" s="49"/>
      <c r="E15" s="49"/>
      <c r="F15" s="49"/>
      <c r="G15" s="49"/>
      <c r="H15" s="49"/>
      <c r="I15" s="49"/>
      <c r="J15" s="49"/>
      <c r="K15" s="49"/>
      <c r="N15" s="35"/>
      <c r="O15" s="15"/>
      <c r="P15" s="16"/>
    </row>
    <row r="16" spans="1:20" ht="15.75" thickBot="1" x14ac:dyDescent="0.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N16" s="35"/>
      <c r="O16" s="15"/>
      <c r="P16" s="16"/>
    </row>
    <row r="17" spans="1:18" ht="15.75" thickBot="1" x14ac:dyDescent="0.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N17" s="35"/>
      <c r="O17" s="15"/>
      <c r="P17" s="16"/>
    </row>
    <row r="18" spans="1:18" ht="15.75" thickBot="1" x14ac:dyDescent="0.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N18" s="35"/>
      <c r="O18" s="15"/>
      <c r="P18" s="16"/>
    </row>
    <row r="19" spans="1:18" ht="15.75" thickBot="1" x14ac:dyDescent="0.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N19" s="35"/>
      <c r="O19" s="15"/>
      <c r="P19" s="16"/>
    </row>
    <row r="20" spans="1:18" ht="15.75" thickBot="1" x14ac:dyDescent="0.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N20" s="35"/>
      <c r="O20" s="15"/>
      <c r="P20" s="16"/>
    </row>
    <row r="21" spans="1:18" ht="15.75" thickBot="1" x14ac:dyDescent="0.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N21" s="35"/>
      <c r="O21" s="15"/>
      <c r="P21" s="16"/>
    </row>
    <row r="22" spans="1:18" ht="15.75" thickBot="1" x14ac:dyDescent="0.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N22" s="35"/>
      <c r="O22" s="15"/>
      <c r="P22" s="16"/>
    </row>
    <row r="23" spans="1:18" ht="15.75" thickBot="1" x14ac:dyDescent="0.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N23" s="35"/>
      <c r="O23" s="15"/>
      <c r="P23" s="16"/>
    </row>
    <row r="24" spans="1:18" ht="15.75" thickBot="1" x14ac:dyDescent="0.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4"/>
      <c r="N24" s="35"/>
      <c r="O24" s="15"/>
      <c r="P24" s="16"/>
    </row>
    <row r="25" spans="1:18" ht="15.75" thickBot="1" x14ac:dyDescent="0.5">
      <c r="A25" s="49" t="s">
        <v>44</v>
      </c>
      <c r="B25" s="49">
        <f>SUM(B8:B24)</f>
        <v>20</v>
      </c>
      <c r="C25" s="7"/>
      <c r="D25" s="49">
        <f>SUM(D8:D24)</f>
        <v>30</v>
      </c>
      <c r="E25" s="7"/>
      <c r="F25" s="49">
        <f>SUM(F8:F24)</f>
        <v>10</v>
      </c>
      <c r="G25" s="7"/>
      <c r="H25" s="49">
        <f>SUM(H8:H24)</f>
        <v>8</v>
      </c>
      <c r="I25" s="7"/>
      <c r="J25" s="49">
        <f>SUM(J8:J24)</f>
        <v>4</v>
      </c>
      <c r="K25" s="7"/>
    </row>
    <row r="27" spans="1:18" ht="15.75" thickBot="1" x14ac:dyDescent="0.5"/>
    <row r="28" spans="1:18" ht="16.149999999999999" thickTop="1" thickBot="1" x14ac:dyDescent="0.5">
      <c r="A28" s="55" t="s">
        <v>196</v>
      </c>
      <c r="B28" s="49" t="s">
        <v>257</v>
      </c>
      <c r="C28" s="45"/>
      <c r="D28" s="167"/>
      <c r="E28" s="165"/>
      <c r="F28" s="166" t="s">
        <v>212</v>
      </c>
      <c r="G28" s="53">
        <f>B25+D25+H25+J25</f>
        <v>62</v>
      </c>
      <c r="I28" s="55" t="s">
        <v>111</v>
      </c>
      <c r="J28" s="59">
        <f>Econ!G195</f>
        <v>310.58499999999998</v>
      </c>
    </row>
    <row r="29" spans="1:18" ht="16.149999999999999" thickTop="1" thickBot="1" x14ac:dyDescent="0.5">
      <c r="A29" s="49" t="s">
        <v>197</v>
      </c>
      <c r="B29" s="49" t="s">
        <v>13</v>
      </c>
    </row>
    <row r="30" spans="1:18" ht="15.75" thickBot="1" x14ac:dyDescent="0.5">
      <c r="A30" s="56" t="s">
        <v>198</v>
      </c>
      <c r="B30" s="57" t="s">
        <v>258</v>
      </c>
      <c r="E30" s="219" t="s">
        <v>199</v>
      </c>
      <c r="F30" s="219"/>
      <c r="G30" s="219"/>
      <c r="H30" s="219"/>
      <c r="I30" s="219"/>
      <c r="J30" s="219"/>
      <c r="K30" s="219"/>
    </row>
    <row r="31" spans="1:18" ht="15.75" thickBot="1" x14ac:dyDescent="0.5">
      <c r="A31" s="44"/>
      <c r="B31" s="44"/>
      <c r="C31" s="44"/>
      <c r="E31" s="219" t="s">
        <v>64</v>
      </c>
      <c r="F31" s="219"/>
      <c r="G31" s="219"/>
      <c r="H31" s="49" t="s">
        <v>120</v>
      </c>
      <c r="I31" s="219" t="s">
        <v>200</v>
      </c>
      <c r="J31" s="219"/>
      <c r="K31" s="219"/>
    </row>
    <row r="32" spans="1:18" ht="15.75" thickBot="1" x14ac:dyDescent="0.5">
      <c r="A32" s="44"/>
      <c r="B32" s="44"/>
      <c r="C32" s="44"/>
      <c r="E32" s="223"/>
      <c r="F32" s="224"/>
      <c r="G32" s="225"/>
      <c r="H32" s="173"/>
      <c r="I32" s="223"/>
      <c r="J32" s="224"/>
      <c r="K32" s="225"/>
      <c r="R32" s="44"/>
    </row>
    <row r="33" spans="1:16" ht="15.75" thickBot="1" x14ac:dyDescent="0.5">
      <c r="A33" s="44"/>
      <c r="E33" s="223"/>
      <c r="F33" s="224"/>
      <c r="G33" s="225"/>
      <c r="H33" s="173"/>
      <c r="I33" s="223"/>
      <c r="J33" s="224"/>
      <c r="K33" s="225"/>
    </row>
    <row r="34" spans="1:16" ht="16.149999999999999" thickTop="1" thickBot="1" x14ac:dyDescent="0.5">
      <c r="A34" s="55" t="s">
        <v>9</v>
      </c>
      <c r="B34" s="55" t="s">
        <v>164</v>
      </c>
      <c r="C34" s="20" t="s">
        <v>9</v>
      </c>
      <c r="E34" s="223"/>
      <c r="F34" s="224"/>
      <c r="G34" s="225"/>
      <c r="H34" s="173"/>
      <c r="I34" s="223"/>
      <c r="J34" s="224"/>
      <c r="K34" s="225"/>
    </row>
    <row r="35" spans="1:16" ht="16.149999999999999" thickTop="1" thickBot="1" x14ac:dyDescent="0.5">
      <c r="A35" s="55" t="s">
        <v>201</v>
      </c>
      <c r="B35" s="60">
        <f>(B25+H25+J25)*200000</f>
        <v>6400000</v>
      </c>
      <c r="E35" s="223"/>
      <c r="F35" s="224"/>
      <c r="G35" s="225"/>
      <c r="H35" s="173"/>
      <c r="I35" s="223"/>
      <c r="J35" s="224"/>
      <c r="K35" s="225"/>
    </row>
    <row r="36" spans="1:16" ht="16.149999999999999" thickTop="1" thickBot="1" x14ac:dyDescent="0.5">
      <c r="A36" s="55" t="s">
        <v>202</v>
      </c>
      <c r="B36" s="60">
        <f>D25*100000</f>
        <v>3000000</v>
      </c>
      <c r="E36" s="20" t="s">
        <v>9</v>
      </c>
      <c r="F36" s="20" t="s">
        <v>9</v>
      </c>
      <c r="G36" s="49" t="s">
        <v>44</v>
      </c>
      <c r="H36" s="53">
        <f>SUM(H32:H35)</f>
        <v>0</v>
      </c>
    </row>
    <row r="37" spans="1:16" ht="16.149999999999999" thickTop="1" thickBot="1" x14ac:dyDescent="0.5">
      <c r="A37" s="55" t="s">
        <v>5</v>
      </c>
      <c r="B37" s="60">
        <f>SUM(B35:B36)</f>
        <v>9400000</v>
      </c>
    </row>
    <row r="38" spans="1:16" ht="16.149999999999999" thickTop="1" thickBot="1" x14ac:dyDescent="0.5"/>
    <row r="39" spans="1:16" ht="15.75" thickBot="1" x14ac:dyDescent="0.5">
      <c r="G39" s="219" t="s">
        <v>203</v>
      </c>
      <c r="H39" s="219"/>
      <c r="I39" s="219"/>
      <c r="J39" s="219"/>
    </row>
    <row r="40" spans="1:16" ht="15.75" thickBot="1" x14ac:dyDescent="0.5">
      <c r="G40" s="49" t="s">
        <v>61</v>
      </c>
      <c r="H40" s="49" t="s">
        <v>152</v>
      </c>
      <c r="I40" s="49" t="s">
        <v>153</v>
      </c>
      <c r="J40" s="49" t="s">
        <v>150</v>
      </c>
    </row>
    <row r="41" spans="1:16" ht="15.75" thickBot="1" x14ac:dyDescent="0.5">
      <c r="F41" s="46" t="s">
        <v>204</v>
      </c>
      <c r="G41" s="61">
        <v>4</v>
      </c>
      <c r="H41" s="61">
        <v>8</v>
      </c>
      <c r="I41" s="61">
        <v>16</v>
      </c>
      <c r="J41" s="61">
        <v>1</v>
      </c>
    </row>
    <row r="42" spans="1:16" ht="15.75" thickBot="1" x14ac:dyDescent="0.5">
      <c r="F42" s="46" t="s">
        <v>205</v>
      </c>
      <c r="G42" s="61">
        <v>8</v>
      </c>
      <c r="H42" s="61">
        <v>16</v>
      </c>
      <c r="I42" s="61">
        <v>32</v>
      </c>
      <c r="J42" s="61">
        <v>2</v>
      </c>
    </row>
    <row r="43" spans="1:16" ht="15.75" thickBot="1" x14ac:dyDescent="0.5">
      <c r="F43" s="46" t="s">
        <v>206</v>
      </c>
      <c r="G43" s="61">
        <v>16</v>
      </c>
      <c r="H43" s="61">
        <v>32</v>
      </c>
      <c r="I43" s="61">
        <v>48</v>
      </c>
      <c r="J43" s="61">
        <v>4</v>
      </c>
    </row>
    <row r="47" spans="1:16" ht="15.75" thickBot="1" x14ac:dyDescent="0.5">
      <c r="A47" s="82" t="s">
        <v>242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1:16" ht="16.149999999999999" thickTop="1" thickBot="1" x14ac:dyDescent="0.5">
      <c r="A48" s="247" t="s">
        <v>181</v>
      </c>
      <c r="B48" s="220" t="s">
        <v>207</v>
      </c>
      <c r="C48" s="220" t="s">
        <v>151</v>
      </c>
      <c r="D48" s="220" t="s">
        <v>208</v>
      </c>
      <c r="E48" s="220" t="s">
        <v>151</v>
      </c>
      <c r="F48" s="220" t="s">
        <v>209</v>
      </c>
      <c r="G48" s="220" t="s">
        <v>151</v>
      </c>
      <c r="H48" s="220" t="s">
        <v>210</v>
      </c>
      <c r="I48" s="220" t="s">
        <v>151</v>
      </c>
      <c r="J48" s="220" t="s">
        <v>174</v>
      </c>
      <c r="K48" s="220" t="s">
        <v>151</v>
      </c>
      <c r="L48" s="220" t="s">
        <v>176</v>
      </c>
    </row>
    <row r="49" spans="1:12" ht="16.149999999999999" thickTop="1" thickBot="1" x14ac:dyDescent="0.5">
      <c r="A49" s="248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</row>
    <row r="50" spans="1:12" s="47" customFormat="1" ht="16.149999999999999" thickTop="1" thickBot="1" x14ac:dyDescent="0.5">
      <c r="A50" s="62" t="s">
        <v>259</v>
      </c>
      <c r="B50" s="63">
        <v>7</v>
      </c>
      <c r="C50" s="64" t="s">
        <v>26</v>
      </c>
      <c r="D50" s="63">
        <v>10</v>
      </c>
      <c r="E50" s="64" t="s">
        <v>26</v>
      </c>
      <c r="F50" s="67"/>
      <c r="G50" s="68"/>
      <c r="H50" s="63">
        <v>15</v>
      </c>
      <c r="I50" s="64" t="s">
        <v>25</v>
      </c>
      <c r="J50" s="63">
        <v>2</v>
      </c>
      <c r="K50" s="64" t="s">
        <v>26</v>
      </c>
      <c r="L50" s="62">
        <v>3</v>
      </c>
    </row>
    <row r="51" spans="1:12" ht="16.149999999999999" thickTop="1" thickBot="1" x14ac:dyDescent="0.5">
      <c r="A51" s="62" t="s">
        <v>259</v>
      </c>
      <c r="B51" s="65"/>
      <c r="C51" s="66"/>
      <c r="D51" s="65"/>
      <c r="E51" s="66"/>
      <c r="F51" s="65"/>
      <c r="G51" s="66"/>
      <c r="H51" s="65">
        <v>17</v>
      </c>
      <c r="I51" s="66" t="s">
        <v>26</v>
      </c>
      <c r="J51" s="65"/>
      <c r="K51" s="66"/>
      <c r="L51" s="55"/>
    </row>
    <row r="52" spans="1:12" ht="16.149999999999999" thickTop="1" thickBot="1" x14ac:dyDescent="0.5">
      <c r="A52" s="55" t="s">
        <v>260</v>
      </c>
      <c r="B52" s="65">
        <v>4</v>
      </c>
      <c r="C52" s="66" t="s">
        <v>26</v>
      </c>
      <c r="D52" s="65">
        <v>6</v>
      </c>
      <c r="E52" s="66" t="s">
        <v>26</v>
      </c>
      <c r="F52" s="65"/>
      <c r="G52" s="66"/>
      <c r="H52" s="65">
        <v>5</v>
      </c>
      <c r="I52" s="66" t="s">
        <v>25</v>
      </c>
      <c r="J52" s="65" t="s">
        <v>9</v>
      </c>
      <c r="K52" s="66" t="s">
        <v>9</v>
      </c>
      <c r="L52" s="55">
        <v>3</v>
      </c>
    </row>
    <row r="53" spans="1:12" ht="16.149999999999999" thickTop="1" thickBot="1" x14ac:dyDescent="0.5">
      <c r="A53" s="55" t="s">
        <v>261</v>
      </c>
      <c r="B53" s="65" t="s">
        <v>9</v>
      </c>
      <c r="C53" s="66" t="s">
        <v>9</v>
      </c>
      <c r="D53" s="65">
        <v>3</v>
      </c>
      <c r="E53" s="66" t="s">
        <v>26</v>
      </c>
      <c r="F53" s="65"/>
      <c r="G53" s="66"/>
      <c r="H53" s="65">
        <v>5</v>
      </c>
      <c r="I53" s="66" t="s">
        <v>26</v>
      </c>
      <c r="J53" s="65"/>
      <c r="K53" s="66"/>
      <c r="L53" s="55" t="s">
        <v>9</v>
      </c>
    </row>
    <row r="54" spans="1:12" ht="16.149999999999999" thickTop="1" thickBot="1" x14ac:dyDescent="0.5">
      <c r="A54" s="55" t="s">
        <v>262</v>
      </c>
      <c r="B54" s="65">
        <v>1</v>
      </c>
      <c r="C54" s="66" t="s">
        <v>26</v>
      </c>
      <c r="D54" s="65">
        <v>2</v>
      </c>
      <c r="E54" s="66" t="s">
        <v>26</v>
      </c>
      <c r="F54" s="65"/>
      <c r="G54" s="66"/>
      <c r="H54" s="65">
        <v>4</v>
      </c>
      <c r="I54" s="66" t="s">
        <v>26</v>
      </c>
      <c r="J54" s="65"/>
      <c r="K54" s="66"/>
      <c r="L54" s="55"/>
    </row>
    <row r="55" spans="1:12" ht="16.149999999999999" thickTop="1" thickBot="1" x14ac:dyDescent="0.5">
      <c r="A55" s="55" t="s">
        <v>263</v>
      </c>
      <c r="B55" s="65"/>
      <c r="C55" s="66"/>
      <c r="D55" s="65">
        <v>3</v>
      </c>
      <c r="E55" s="66" t="s">
        <v>26</v>
      </c>
      <c r="F55" s="65"/>
      <c r="G55" s="66"/>
      <c r="H55" s="65">
        <v>3</v>
      </c>
      <c r="I55" s="66" t="s">
        <v>26</v>
      </c>
      <c r="J55" s="65">
        <v>4</v>
      </c>
      <c r="K55" s="66" t="s">
        <v>26</v>
      </c>
      <c r="L55" s="55"/>
    </row>
    <row r="56" spans="1:12" ht="16.149999999999999" thickTop="1" thickBot="1" x14ac:dyDescent="0.5">
      <c r="A56" s="55"/>
      <c r="B56" s="65"/>
      <c r="C56" s="66"/>
      <c r="D56" s="65"/>
      <c r="E56" s="66"/>
      <c r="F56" s="65"/>
      <c r="G56" s="66"/>
      <c r="H56" s="65"/>
      <c r="I56" s="66"/>
      <c r="J56" s="65"/>
      <c r="K56" s="66"/>
      <c r="L56" s="55"/>
    </row>
    <row r="57" spans="1:12" s="47" customFormat="1" ht="16.149999999999999" thickTop="1" thickBot="1" x14ac:dyDescent="0.5">
      <c r="A57" s="62"/>
      <c r="B57" s="63"/>
      <c r="C57" s="64"/>
      <c r="D57" s="63"/>
      <c r="E57" s="64"/>
      <c r="F57" s="63"/>
      <c r="G57" s="64"/>
      <c r="H57" s="63"/>
      <c r="I57" s="64"/>
      <c r="J57" s="63"/>
      <c r="K57" s="64"/>
      <c r="L57" s="62"/>
    </row>
    <row r="58" spans="1:12" ht="16.149999999999999" thickTop="1" thickBot="1" x14ac:dyDescent="0.5">
      <c r="A58" s="55"/>
      <c r="B58" s="65"/>
      <c r="C58" s="66"/>
      <c r="D58" s="65"/>
      <c r="E58" s="66"/>
      <c r="F58" s="65"/>
      <c r="G58" s="66"/>
      <c r="H58" s="65"/>
      <c r="I58" s="66"/>
      <c r="J58" s="65"/>
      <c r="K58" s="66"/>
      <c r="L58" s="55"/>
    </row>
    <row r="59" spans="1:12" ht="16.149999999999999" thickTop="1" thickBot="1" x14ac:dyDescent="0.5">
      <c r="A59" s="55" t="s">
        <v>6</v>
      </c>
      <c r="B59" s="55">
        <f>SUM(B50:B58)</f>
        <v>12</v>
      </c>
      <c r="C59" s="35"/>
      <c r="D59" s="55">
        <f>SUM(D50:D58)</f>
        <v>24</v>
      </c>
      <c r="E59" s="35"/>
      <c r="F59" s="55">
        <f>SUM(F50:F58)</f>
        <v>0</v>
      </c>
      <c r="G59" s="35"/>
      <c r="H59" s="55">
        <f>SUM(H50:H58)</f>
        <v>49</v>
      </c>
      <c r="I59" s="35"/>
      <c r="J59" s="55">
        <f>SUM(J50:J58)</f>
        <v>6</v>
      </c>
      <c r="K59" s="35"/>
      <c r="L59" s="55">
        <f>SUM(L50:L58)</f>
        <v>6</v>
      </c>
    </row>
    <row r="60" spans="1:12" ht="15.75" thickTop="1" x14ac:dyDescent="0.45"/>
    <row r="62" spans="1:12" ht="15.75" thickBot="1" x14ac:dyDescent="0.5"/>
    <row r="63" spans="1:12" ht="16.149999999999999" thickTop="1" thickBot="1" x14ac:dyDescent="0.5">
      <c r="A63" s="55" t="s">
        <v>196</v>
      </c>
      <c r="B63" s="49" t="s">
        <v>257</v>
      </c>
      <c r="E63" s="49"/>
      <c r="F63" s="58" t="s">
        <v>211</v>
      </c>
      <c r="G63" s="53">
        <f>B64*0.5</f>
        <v>81.5</v>
      </c>
    </row>
    <row r="64" spans="1:12" ht="16.149999999999999" thickTop="1" thickBot="1" x14ac:dyDescent="0.5">
      <c r="A64" s="55" t="s">
        <v>213</v>
      </c>
      <c r="B64" s="55">
        <f>(B59*4)+(D59*2)+(F59*2)+(H59*1)+(J59*1)+(L59*2)</f>
        <v>163</v>
      </c>
    </row>
    <row r="65" spans="1:16" ht="16.149999999999999" thickTop="1" thickBot="1" x14ac:dyDescent="0.5">
      <c r="A65" s="55" t="s">
        <v>214</v>
      </c>
      <c r="B65" s="59">
        <f>ROUNDUP((B64/20)*5,0)</f>
        <v>41</v>
      </c>
      <c r="E65" s="219" t="s">
        <v>215</v>
      </c>
      <c r="F65" s="219"/>
      <c r="G65" s="219"/>
      <c r="H65" s="219"/>
      <c r="I65" s="219"/>
      <c r="J65" s="219"/>
      <c r="K65" s="219"/>
    </row>
    <row r="66" spans="1:16" ht="16.149999999999999" thickTop="1" thickBot="1" x14ac:dyDescent="0.5">
      <c r="A66" s="55" t="s">
        <v>164</v>
      </c>
      <c r="B66" s="55">
        <f>ROUNDUP((B64/20)*0.1,2)</f>
        <v>0.82000000000000006</v>
      </c>
      <c r="C66" s="20" t="s">
        <v>58</v>
      </c>
      <c r="E66" s="219" t="s">
        <v>216</v>
      </c>
      <c r="F66" s="219"/>
      <c r="G66" s="219"/>
      <c r="H66" s="49" t="s">
        <v>120</v>
      </c>
      <c r="I66" s="219" t="s">
        <v>200</v>
      </c>
      <c r="J66" s="219"/>
      <c r="K66" s="219"/>
    </row>
    <row r="67" spans="1:16" ht="15" customHeight="1" thickTop="1" thickBot="1" x14ac:dyDescent="0.5">
      <c r="E67" s="223"/>
      <c r="F67" s="224"/>
      <c r="G67" s="225"/>
      <c r="H67" s="173"/>
      <c r="I67" s="223"/>
      <c r="J67" s="224"/>
      <c r="K67" s="225"/>
    </row>
    <row r="68" spans="1:16" ht="15" customHeight="1" thickBot="1" x14ac:dyDescent="0.5">
      <c r="E68" s="223"/>
      <c r="F68" s="224"/>
      <c r="G68" s="225"/>
      <c r="H68" s="173"/>
      <c r="I68" s="223"/>
      <c r="J68" s="224"/>
      <c r="K68" s="225"/>
    </row>
    <row r="69" spans="1:16" ht="15" customHeight="1" thickBot="1" x14ac:dyDescent="0.5">
      <c r="E69" s="223"/>
      <c r="F69" s="224"/>
      <c r="G69" s="225"/>
      <c r="H69" s="173"/>
      <c r="I69" s="223"/>
      <c r="J69" s="224"/>
      <c r="K69" s="225"/>
    </row>
    <row r="70" spans="1:16" ht="15.75" thickBot="1" x14ac:dyDescent="0.5">
      <c r="E70" s="223"/>
      <c r="F70" s="224"/>
      <c r="G70" s="225"/>
      <c r="H70" s="173"/>
      <c r="I70" s="223"/>
      <c r="J70" s="224"/>
      <c r="K70" s="225"/>
    </row>
    <row r="71" spans="1:16" ht="15.75" thickBot="1" x14ac:dyDescent="0.5">
      <c r="E71" s="20" t="s">
        <v>9</v>
      </c>
      <c r="F71" s="20" t="s">
        <v>9</v>
      </c>
      <c r="G71" s="49" t="s">
        <v>44</v>
      </c>
      <c r="H71" s="49">
        <f>SUM(H67:H70)</f>
        <v>0</v>
      </c>
    </row>
    <row r="72" spans="1:16" ht="15.75" thickBot="1" x14ac:dyDescent="0.5">
      <c r="G72" s="49" t="s">
        <v>111</v>
      </c>
      <c r="H72" s="61">
        <f>J28-H36-H71</f>
        <v>310.58499999999998</v>
      </c>
      <c r="I72" s="48"/>
    </row>
    <row r="75" spans="1:16" ht="15.75" thickBot="1" x14ac:dyDescent="0.5">
      <c r="A75" s="83" t="s">
        <v>243</v>
      </c>
    </row>
    <row r="76" spans="1:16" ht="15.75" thickBot="1" x14ac:dyDescent="0.5">
      <c r="A76" s="49" t="s">
        <v>217</v>
      </c>
      <c r="B76" s="49" t="s">
        <v>169</v>
      </c>
      <c r="C76" s="49" t="s">
        <v>120</v>
      </c>
      <c r="D76" s="238" t="s">
        <v>181</v>
      </c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</row>
    <row r="77" spans="1:16" ht="15.75" thickBot="1" x14ac:dyDescent="0.5">
      <c r="A77" s="49" t="s">
        <v>222</v>
      </c>
      <c r="B77" s="49">
        <v>8</v>
      </c>
      <c r="C77" s="69"/>
      <c r="D77" s="239" t="s">
        <v>264</v>
      </c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1"/>
    </row>
    <row r="78" spans="1:16" ht="15.75" thickBot="1" x14ac:dyDescent="0.5">
      <c r="A78" s="49" t="s">
        <v>218</v>
      </c>
      <c r="B78" s="49">
        <v>12</v>
      </c>
      <c r="C78" s="70">
        <f>B78</f>
        <v>12</v>
      </c>
      <c r="D78" s="242" t="s">
        <v>265</v>
      </c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4"/>
    </row>
    <row r="79" spans="1:16" x14ac:dyDescent="0.45">
      <c r="A79" s="35"/>
      <c r="B79" s="35"/>
      <c r="C79" s="15"/>
      <c r="D79" s="256" t="s">
        <v>266</v>
      </c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8"/>
    </row>
    <row r="80" spans="1:16" x14ac:dyDescent="0.45">
      <c r="A80" s="35"/>
      <c r="B80" s="35"/>
      <c r="C80" s="15"/>
      <c r="D80" s="256" t="s">
        <v>294</v>
      </c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8"/>
    </row>
    <row r="81" spans="1:16" x14ac:dyDescent="0.45">
      <c r="A81" s="35"/>
      <c r="B81" s="35"/>
      <c r="C81" s="15"/>
      <c r="D81" s="256" t="s">
        <v>267</v>
      </c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8"/>
    </row>
    <row r="82" spans="1:16" x14ac:dyDescent="0.45">
      <c r="A82" s="35"/>
      <c r="B82" s="35"/>
      <c r="C82" s="15"/>
      <c r="D82" s="259" t="s">
        <v>268</v>
      </c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  <c r="P82" s="261"/>
    </row>
    <row r="83" spans="1:16" ht="15.75" thickBot="1" x14ac:dyDescent="0.5">
      <c r="A83" s="35"/>
      <c r="B83" s="35"/>
      <c r="C83" s="15"/>
      <c r="D83" s="253"/>
      <c r="E83" s="254"/>
      <c r="F83" s="254"/>
      <c r="G83" s="254"/>
      <c r="H83" s="254"/>
      <c r="I83" s="254"/>
      <c r="J83" s="254"/>
      <c r="K83" s="254"/>
      <c r="L83" s="254"/>
      <c r="M83" s="254"/>
      <c r="N83" s="254"/>
      <c r="O83" s="254"/>
      <c r="P83" s="255"/>
    </row>
    <row r="84" spans="1:16" x14ac:dyDescent="0.45">
      <c r="A84" s="35"/>
      <c r="B84" s="35"/>
      <c r="C84" s="15"/>
      <c r="D84" s="18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16" ht="15.75" thickBot="1" x14ac:dyDescent="0.5">
      <c r="A85" s="35"/>
      <c r="B85" s="35"/>
      <c r="C85" s="15"/>
      <c r="D85" s="18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1:16" ht="15.75" thickBot="1" x14ac:dyDescent="0.5">
      <c r="A86" s="49" t="s">
        <v>219</v>
      </c>
      <c r="B86" s="49" t="s">
        <v>169</v>
      </c>
      <c r="C86" s="49" t="s">
        <v>120</v>
      </c>
      <c r="D86" s="219" t="s">
        <v>181</v>
      </c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</row>
    <row r="87" spans="1:16" ht="15.75" thickBot="1" x14ac:dyDescent="0.5">
      <c r="A87" s="57" t="s">
        <v>222</v>
      </c>
      <c r="B87" s="57">
        <v>16</v>
      </c>
      <c r="C87" s="69"/>
      <c r="D87" s="249" t="s">
        <v>269</v>
      </c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1"/>
    </row>
    <row r="88" spans="1:16" ht="15.75" thickBot="1" x14ac:dyDescent="0.5">
      <c r="A88" s="164" t="s">
        <v>218</v>
      </c>
      <c r="B88" s="164"/>
      <c r="C88" s="163">
        <f>B88</f>
        <v>0</v>
      </c>
      <c r="D88" s="168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70"/>
    </row>
    <row r="89" spans="1:16" ht="15.75" thickBot="1" x14ac:dyDescent="0.5"/>
    <row r="90" spans="1:16" ht="15.75" thickBot="1" x14ac:dyDescent="0.5">
      <c r="A90" s="49" t="s">
        <v>220</v>
      </c>
      <c r="B90" s="49" t="s">
        <v>169</v>
      </c>
      <c r="C90" s="49" t="s">
        <v>120</v>
      </c>
      <c r="D90" s="219" t="s">
        <v>181</v>
      </c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</row>
    <row r="91" spans="1:16" ht="15.75" customHeight="1" thickBot="1" x14ac:dyDescent="0.5">
      <c r="A91" s="49"/>
      <c r="B91" s="49">
        <v>15</v>
      </c>
      <c r="C91" s="70">
        <f>B91*2</f>
        <v>30</v>
      </c>
      <c r="D91" s="226" t="s">
        <v>270</v>
      </c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8"/>
    </row>
    <row r="92" spans="1:16" ht="35.25" customHeight="1" thickBot="1" x14ac:dyDescent="0.5">
      <c r="D92" s="229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1"/>
    </row>
    <row r="93" spans="1:16" ht="15.75" thickBot="1" x14ac:dyDescent="0.5">
      <c r="A93" s="20" t="s">
        <v>9</v>
      </c>
    </row>
    <row r="94" spans="1:16" ht="15.75" thickBot="1" x14ac:dyDescent="0.5">
      <c r="A94" s="49" t="s">
        <v>221</v>
      </c>
      <c r="B94" s="49" t="s">
        <v>169</v>
      </c>
      <c r="C94" s="49" t="s">
        <v>120</v>
      </c>
      <c r="D94" s="219" t="s">
        <v>181</v>
      </c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</row>
    <row r="95" spans="1:16" ht="15.75" thickBot="1" x14ac:dyDescent="0.5">
      <c r="A95" s="49"/>
      <c r="B95" s="49">
        <v>3</v>
      </c>
      <c r="C95" s="70">
        <f>B95*4</f>
        <v>12</v>
      </c>
      <c r="D95" s="232" t="s">
        <v>271</v>
      </c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4"/>
    </row>
    <row r="96" spans="1:16" ht="15.75" thickBot="1" x14ac:dyDescent="0.5">
      <c r="D96" s="235"/>
      <c r="E96" s="236"/>
      <c r="F96" s="236"/>
      <c r="G96" s="236"/>
      <c r="H96" s="236"/>
      <c r="I96" s="236"/>
      <c r="J96" s="236"/>
      <c r="K96" s="236"/>
      <c r="L96" s="236"/>
      <c r="M96" s="236"/>
      <c r="N96" s="236"/>
      <c r="O96" s="236"/>
      <c r="P96" s="237"/>
    </row>
    <row r="99" spans="1:17" x14ac:dyDescent="0.45">
      <c r="A99" s="167" t="s">
        <v>6</v>
      </c>
      <c r="B99" s="171">
        <f>C78+C88+C91+C95</f>
        <v>54</v>
      </c>
    </row>
    <row r="100" spans="1:17" x14ac:dyDescent="0.4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1:17" ht="15.75" thickBot="1" x14ac:dyDescent="0.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ht="15.75" thickBot="1" x14ac:dyDescent="0.5">
      <c r="C102" s="152" t="s">
        <v>60</v>
      </c>
      <c r="D102" s="61">
        <f>H72</f>
        <v>310.58499999999998</v>
      </c>
    </row>
  </sheetData>
  <sheetProtection algorithmName="SHA-512" hashValue="Fo+4LHgXYpAHo4V7Eqt8mYTwSjQ6rR6s4xLShUNjFwBPe/Ux1AmFbUGWVnTQIGYqo2OLRpmC+auOsXGR7wxD3g==" saltValue="8PqRuGSpBFyvOok165b2OQ==" spinCount="100000" sheet="1" objects="1" scenarios="1"/>
  <mergeCells count="61">
    <mergeCell ref="D87:P87"/>
    <mergeCell ref="A2:T2"/>
    <mergeCell ref="D86:P86"/>
    <mergeCell ref="D83:P83"/>
    <mergeCell ref="D79:P79"/>
    <mergeCell ref="D80:P80"/>
    <mergeCell ref="D81:P81"/>
    <mergeCell ref="D82:P82"/>
    <mergeCell ref="E69:G69"/>
    <mergeCell ref="E70:G70"/>
    <mergeCell ref="I32:K32"/>
    <mergeCell ref="I33:K33"/>
    <mergeCell ref="I34:K34"/>
    <mergeCell ref="I69:K69"/>
    <mergeCell ref="I70:K70"/>
    <mergeCell ref="E35:G35"/>
    <mergeCell ref="A48:A49"/>
    <mergeCell ref="G48:G49"/>
    <mergeCell ref="H48:H49"/>
    <mergeCell ref="K48:K49"/>
    <mergeCell ref="B48:B49"/>
    <mergeCell ref="C48:C49"/>
    <mergeCell ref="I66:K66"/>
    <mergeCell ref="I67:K67"/>
    <mergeCell ref="I68:K68"/>
    <mergeCell ref="E65:K65"/>
    <mergeCell ref="E68:G68"/>
    <mergeCell ref="E66:G66"/>
    <mergeCell ref="E67:G67"/>
    <mergeCell ref="D91:P92"/>
    <mergeCell ref="D94:P94"/>
    <mergeCell ref="D95:P96"/>
    <mergeCell ref="N6:P6"/>
    <mergeCell ref="D76:P76"/>
    <mergeCell ref="D77:P77"/>
    <mergeCell ref="D78:P78"/>
    <mergeCell ref="D90:P90"/>
    <mergeCell ref="D48:D49"/>
    <mergeCell ref="E48:E49"/>
    <mergeCell ref="F48:F49"/>
    <mergeCell ref="G39:J39"/>
    <mergeCell ref="L48:L49"/>
    <mergeCell ref="K6:K7"/>
    <mergeCell ref="I31:K31"/>
    <mergeCell ref="E30:K30"/>
    <mergeCell ref="E31:G31"/>
    <mergeCell ref="J48:J49"/>
    <mergeCell ref="I48:I49"/>
    <mergeCell ref="B6:B7"/>
    <mergeCell ref="D6:D7"/>
    <mergeCell ref="F6:F7"/>
    <mergeCell ref="H6:H7"/>
    <mergeCell ref="J6:J7"/>
    <mergeCell ref="C6:C7"/>
    <mergeCell ref="E6:E7"/>
    <mergeCell ref="G6:G7"/>
    <mergeCell ref="I6:I7"/>
    <mergeCell ref="E32:G32"/>
    <mergeCell ref="E33:G33"/>
    <mergeCell ref="E34:G34"/>
    <mergeCell ref="I35:K35"/>
  </mergeCells>
  <dataValidations count="2">
    <dataValidation type="list" showInputMessage="1" showErrorMessage="1" sqref="C9:C11 C13:C24 I9:I24 G9:G24 E8:E24 K8:K24" xr:uid="{00000000-0002-0000-0100-000000000000}">
      <formula1>Weapon_Quality</formula1>
    </dataValidation>
    <dataValidation type="list" showInputMessage="1" showErrorMessage="1" sqref="B29" xr:uid="{00000000-0002-0000-0100-000001000000}">
      <formula1>Yes_No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65"/>
  <sheetViews>
    <sheetView showGridLines="0" workbookViewId="0">
      <selection activeCell="B1" sqref="B1:P1"/>
    </sheetView>
  </sheetViews>
  <sheetFormatPr defaultColWidth="9.1328125" defaultRowHeight="17.649999999999999" x14ac:dyDescent="0.5"/>
  <cols>
    <col min="1" max="1" width="3.9296875" style="31" customWidth="1"/>
    <col min="2" max="2" width="29.1328125" style="31" bestFit="1" customWidth="1"/>
    <col min="3" max="3" width="16.73046875" style="31" bestFit="1" customWidth="1"/>
    <col min="4" max="4" width="15" style="31" bestFit="1" customWidth="1"/>
    <col min="5" max="5" width="9.1328125" style="31"/>
    <col min="6" max="6" width="10.6640625" style="31" customWidth="1"/>
    <col min="7" max="7" width="9" style="31" customWidth="1"/>
    <col min="8" max="16384" width="9.1328125" style="31"/>
  </cols>
  <sheetData>
    <row r="1" spans="1:16" s="17" customFormat="1" x14ac:dyDescent="0.5">
      <c r="A1" s="33"/>
      <c r="B1" s="263" t="s">
        <v>244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</row>
    <row r="2" spans="1:16" s="11" customFormat="1" x14ac:dyDescent="0.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11" customFormat="1" x14ac:dyDescent="0.5">
      <c r="B3" s="23" t="s">
        <v>110</v>
      </c>
      <c r="C3" s="23"/>
      <c r="D3" s="24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s="11" customFormat="1" ht="18" thickBot="1" x14ac:dyDescent="0.55000000000000004">
      <c r="B4" s="23"/>
      <c r="C4" s="23"/>
      <c r="D4" s="24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11" customFormat="1" ht="18" thickBot="1" x14ac:dyDescent="0.55000000000000004">
      <c r="B5" s="265"/>
      <c r="C5" s="266" t="s">
        <v>224</v>
      </c>
      <c r="D5" s="267"/>
      <c r="E5" s="267"/>
      <c r="F5" s="267"/>
      <c r="G5" s="267"/>
      <c r="H5" s="267"/>
      <c r="I5" s="268"/>
      <c r="J5" s="17"/>
      <c r="K5" s="264" t="s">
        <v>225</v>
      </c>
      <c r="L5" s="264"/>
      <c r="M5" s="264"/>
      <c r="N5" s="264"/>
      <c r="O5" s="264"/>
      <c r="P5" s="264"/>
    </row>
    <row r="6" spans="1:16" s="11" customFormat="1" ht="18" thickBot="1" x14ac:dyDescent="0.55000000000000004">
      <c r="B6" s="265"/>
      <c r="C6" s="40" t="s">
        <v>137</v>
      </c>
      <c r="D6" s="40" t="s">
        <v>94</v>
      </c>
      <c r="E6" s="40" t="s">
        <v>95</v>
      </c>
      <c r="F6" s="40" t="s">
        <v>102</v>
      </c>
      <c r="G6" s="40" t="s">
        <v>96</v>
      </c>
      <c r="H6" s="40" t="s">
        <v>98</v>
      </c>
      <c r="I6" s="40" t="s">
        <v>99</v>
      </c>
      <c r="J6" s="17"/>
      <c r="K6" s="40" t="s">
        <v>94</v>
      </c>
      <c r="L6" s="40" t="s">
        <v>95</v>
      </c>
      <c r="M6" s="40" t="s">
        <v>102</v>
      </c>
      <c r="N6" s="40" t="s">
        <v>96</v>
      </c>
      <c r="O6" s="40" t="s">
        <v>98</v>
      </c>
      <c r="P6" s="40" t="s">
        <v>99</v>
      </c>
    </row>
    <row r="7" spans="1:16" s="11" customFormat="1" ht="18" thickBot="1" x14ac:dyDescent="0.55000000000000004">
      <c r="B7" s="21"/>
      <c r="C7" s="43">
        <f>SUM(C12:C31)</f>
        <v>131</v>
      </c>
      <c r="D7" s="41">
        <f>SUM(D11:D31)</f>
        <v>0</v>
      </c>
      <c r="E7" s="41">
        <f t="shared" ref="E7:I7" si="0">SUM(E11:E31)</f>
        <v>0</v>
      </c>
      <c r="F7" s="41">
        <f t="shared" si="0"/>
        <v>4</v>
      </c>
      <c r="G7" s="41">
        <f t="shared" si="0"/>
        <v>3</v>
      </c>
      <c r="H7" s="41">
        <f t="shared" si="0"/>
        <v>2</v>
      </c>
      <c r="I7" s="41">
        <f t="shared" si="0"/>
        <v>1</v>
      </c>
      <c r="J7" s="10"/>
      <c r="K7" s="41">
        <f>SUM(K11:K31)</f>
        <v>9</v>
      </c>
      <c r="L7" s="41">
        <f t="shared" ref="L7:P7" si="1">SUM(L11:L31)</f>
        <v>0</v>
      </c>
      <c r="M7" s="41">
        <f t="shared" si="1"/>
        <v>0</v>
      </c>
      <c r="N7" s="41">
        <f t="shared" si="1"/>
        <v>1</v>
      </c>
      <c r="O7" s="41">
        <f t="shared" si="1"/>
        <v>0</v>
      </c>
      <c r="P7" s="41">
        <f t="shared" si="1"/>
        <v>0</v>
      </c>
    </row>
    <row r="8" spans="1:16" s="17" customFormat="1" ht="18" thickBot="1" x14ac:dyDescent="0.55000000000000004">
      <c r="A8" s="33"/>
      <c r="B8" s="3"/>
      <c r="C8" s="22"/>
      <c r="D8" s="22"/>
      <c r="E8" s="22"/>
      <c r="F8" s="22"/>
      <c r="G8" s="22"/>
      <c r="H8" s="22"/>
      <c r="I8" s="22"/>
      <c r="J8" s="3"/>
      <c r="K8" s="22"/>
      <c r="L8" s="22"/>
      <c r="M8" s="22"/>
      <c r="N8" s="22"/>
      <c r="O8" s="22"/>
      <c r="P8" s="22"/>
    </row>
    <row r="9" spans="1:16" s="17" customFormat="1" ht="18.399999999999999" thickTop="1" thickBot="1" x14ac:dyDescent="0.55000000000000004">
      <c r="A9" s="33"/>
      <c r="C9" s="264" t="s">
        <v>226</v>
      </c>
      <c r="D9" s="264"/>
      <c r="E9" s="264"/>
      <c r="F9" s="264"/>
      <c r="G9" s="264"/>
      <c r="H9" s="264"/>
      <c r="I9" s="40"/>
      <c r="K9" s="264" t="s">
        <v>227</v>
      </c>
      <c r="L9" s="264"/>
      <c r="M9" s="264"/>
      <c r="N9" s="264"/>
      <c r="O9" s="264"/>
      <c r="P9" s="264"/>
    </row>
    <row r="10" spans="1:16" s="17" customFormat="1" ht="18" thickBot="1" x14ac:dyDescent="0.55000000000000004">
      <c r="A10" s="33"/>
      <c r="C10" s="40" t="s">
        <v>137</v>
      </c>
      <c r="D10" s="40" t="s">
        <v>7</v>
      </c>
      <c r="E10" s="40" t="s">
        <v>0</v>
      </c>
      <c r="F10" s="40" t="s">
        <v>1</v>
      </c>
      <c r="G10" s="40" t="s">
        <v>4</v>
      </c>
      <c r="H10" s="40" t="s">
        <v>2</v>
      </c>
      <c r="I10" s="40" t="s">
        <v>3</v>
      </c>
      <c r="K10" s="40" t="s">
        <v>7</v>
      </c>
      <c r="L10" s="40" t="s">
        <v>0</v>
      </c>
      <c r="M10" s="40" t="s">
        <v>1</v>
      </c>
      <c r="N10" s="40" t="s">
        <v>4</v>
      </c>
      <c r="O10" s="40" t="s">
        <v>2</v>
      </c>
      <c r="P10" s="40" t="s">
        <v>3</v>
      </c>
    </row>
    <row r="11" spans="1:16" s="178" customFormat="1" ht="18" thickBot="1" x14ac:dyDescent="0.55000000000000004">
      <c r="B11" s="12" t="s">
        <v>285</v>
      </c>
      <c r="C11" s="71">
        <v>0</v>
      </c>
      <c r="D11" s="177">
        <v>0</v>
      </c>
      <c r="E11" s="177">
        <v>0</v>
      </c>
      <c r="F11" s="177">
        <v>2</v>
      </c>
      <c r="G11" s="177">
        <v>1</v>
      </c>
      <c r="H11" s="177">
        <v>2</v>
      </c>
      <c r="I11" s="177">
        <v>1</v>
      </c>
      <c r="K11" s="177">
        <v>3</v>
      </c>
      <c r="L11" s="177">
        <v>0</v>
      </c>
      <c r="M11" s="177">
        <v>0</v>
      </c>
      <c r="N11" s="177">
        <v>0</v>
      </c>
      <c r="O11" s="177">
        <v>0</v>
      </c>
      <c r="P11" s="177">
        <v>0</v>
      </c>
    </row>
    <row r="12" spans="1:16" s="17" customFormat="1" ht="18" thickBot="1" x14ac:dyDescent="0.55000000000000004">
      <c r="A12" s="33"/>
      <c r="B12" s="12" t="s">
        <v>250</v>
      </c>
      <c r="C12" s="71">
        <v>25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17" t="s">
        <v>9</v>
      </c>
      <c r="K12" s="40">
        <v>1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</row>
    <row r="13" spans="1:16" s="17" customFormat="1" ht="18" thickBot="1" x14ac:dyDescent="0.55000000000000004">
      <c r="A13" s="33"/>
      <c r="B13" s="12" t="s">
        <v>273</v>
      </c>
      <c r="C13" s="71">
        <v>0</v>
      </c>
      <c r="D13" s="40">
        <v>0</v>
      </c>
      <c r="E13" s="40">
        <v>0</v>
      </c>
      <c r="F13" s="40">
        <v>1</v>
      </c>
      <c r="G13" s="40">
        <v>1</v>
      </c>
      <c r="H13" s="40">
        <v>0</v>
      </c>
      <c r="I13" s="40">
        <v>0</v>
      </c>
      <c r="J13" s="30" t="s">
        <v>9</v>
      </c>
      <c r="K13" s="40">
        <v>1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</row>
    <row r="14" spans="1:16" s="30" customFormat="1" ht="18" thickBot="1" x14ac:dyDescent="0.55000000000000004">
      <c r="A14" s="33"/>
      <c r="B14" s="12" t="s">
        <v>274</v>
      </c>
      <c r="C14" s="71">
        <v>6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8" t="s">
        <v>9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</row>
    <row r="15" spans="1:16" s="30" customFormat="1" ht="18" thickBot="1" x14ac:dyDescent="0.55000000000000004">
      <c r="A15" s="33"/>
      <c r="B15" s="12" t="s">
        <v>275</v>
      </c>
      <c r="C15" s="71">
        <v>2</v>
      </c>
      <c r="D15" s="177">
        <v>0</v>
      </c>
      <c r="E15" s="177">
        <v>0</v>
      </c>
      <c r="F15" s="177">
        <v>0</v>
      </c>
      <c r="G15" s="177">
        <v>0</v>
      </c>
      <c r="H15" s="177">
        <v>0</v>
      </c>
      <c r="I15" s="177">
        <v>0</v>
      </c>
      <c r="J15" s="178" t="s">
        <v>9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  <c r="P15" s="177">
        <v>0</v>
      </c>
    </row>
    <row r="16" spans="1:16" s="30" customFormat="1" ht="18" thickBot="1" x14ac:dyDescent="0.55000000000000004">
      <c r="A16" s="33"/>
      <c r="B16" s="12" t="s">
        <v>276</v>
      </c>
      <c r="C16" s="71">
        <v>18</v>
      </c>
      <c r="D16" s="177">
        <v>0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  <c r="J16" s="178" t="s">
        <v>9</v>
      </c>
      <c r="K16" s="177">
        <v>0</v>
      </c>
      <c r="L16" s="177">
        <v>0</v>
      </c>
      <c r="M16" s="177">
        <v>0</v>
      </c>
      <c r="N16" s="177">
        <v>0</v>
      </c>
      <c r="O16" s="177">
        <v>0</v>
      </c>
      <c r="P16" s="177">
        <v>0</v>
      </c>
    </row>
    <row r="17" spans="1:16" s="30" customFormat="1" ht="18" thickBot="1" x14ac:dyDescent="0.55000000000000004">
      <c r="A17" s="33"/>
      <c r="B17" s="12" t="s">
        <v>277</v>
      </c>
      <c r="C17" s="71">
        <v>10</v>
      </c>
      <c r="D17" s="177">
        <v>0</v>
      </c>
      <c r="E17" s="177">
        <v>0</v>
      </c>
      <c r="F17" s="177">
        <v>0</v>
      </c>
      <c r="G17" s="177">
        <v>0</v>
      </c>
      <c r="H17" s="177">
        <v>0</v>
      </c>
      <c r="I17" s="177">
        <v>0</v>
      </c>
      <c r="J17" s="178" t="s">
        <v>9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7">
        <v>0</v>
      </c>
    </row>
    <row r="18" spans="1:16" s="30" customFormat="1" ht="18" thickBot="1" x14ac:dyDescent="0.55000000000000004">
      <c r="A18" s="33"/>
      <c r="B18" s="12" t="s">
        <v>278</v>
      </c>
      <c r="C18" s="71">
        <v>39</v>
      </c>
      <c r="D18" s="177">
        <v>0</v>
      </c>
      <c r="E18" s="177">
        <v>0</v>
      </c>
      <c r="F18" s="177">
        <v>1</v>
      </c>
      <c r="G18" s="177">
        <v>0</v>
      </c>
      <c r="H18" s="177">
        <v>0</v>
      </c>
      <c r="I18" s="177">
        <v>0</v>
      </c>
      <c r="J18" s="178" t="s">
        <v>9</v>
      </c>
      <c r="K18" s="177">
        <v>2</v>
      </c>
      <c r="L18" s="177">
        <v>0</v>
      </c>
      <c r="M18" s="177">
        <v>0</v>
      </c>
      <c r="N18" s="177">
        <v>1</v>
      </c>
      <c r="O18" s="177">
        <v>0</v>
      </c>
      <c r="P18" s="177">
        <v>0</v>
      </c>
    </row>
    <row r="19" spans="1:16" s="30" customFormat="1" ht="18" thickBot="1" x14ac:dyDescent="0.55000000000000004">
      <c r="A19" s="33"/>
      <c r="B19" s="12" t="s">
        <v>279</v>
      </c>
      <c r="C19" s="71">
        <v>4</v>
      </c>
      <c r="D19" s="177">
        <v>0</v>
      </c>
      <c r="E19" s="177">
        <v>0</v>
      </c>
      <c r="F19" s="177">
        <v>0</v>
      </c>
      <c r="G19" s="177">
        <v>0</v>
      </c>
      <c r="H19" s="177">
        <v>0</v>
      </c>
      <c r="I19" s="177">
        <v>0</v>
      </c>
      <c r="J19" s="178" t="s">
        <v>9</v>
      </c>
      <c r="K19" s="177">
        <v>0</v>
      </c>
      <c r="L19" s="177">
        <v>0</v>
      </c>
      <c r="M19" s="177">
        <v>0</v>
      </c>
      <c r="N19" s="177">
        <v>0</v>
      </c>
      <c r="O19" s="177">
        <v>0</v>
      </c>
      <c r="P19" s="177">
        <v>0</v>
      </c>
    </row>
    <row r="20" spans="1:16" s="30" customFormat="1" ht="18" thickBot="1" x14ac:dyDescent="0.55000000000000004">
      <c r="A20" s="33"/>
      <c r="B20" s="12" t="s">
        <v>280</v>
      </c>
      <c r="C20" s="71">
        <v>4</v>
      </c>
      <c r="D20" s="177">
        <v>0</v>
      </c>
      <c r="E20" s="177">
        <v>0</v>
      </c>
      <c r="F20" s="177">
        <v>0</v>
      </c>
      <c r="G20" s="177">
        <v>0</v>
      </c>
      <c r="H20" s="177">
        <v>0</v>
      </c>
      <c r="I20" s="177">
        <v>0</v>
      </c>
      <c r="J20" s="178" t="s">
        <v>9</v>
      </c>
      <c r="K20" s="177">
        <v>0</v>
      </c>
      <c r="L20" s="177">
        <v>0</v>
      </c>
      <c r="M20" s="177">
        <v>0</v>
      </c>
      <c r="N20" s="177">
        <v>0</v>
      </c>
      <c r="O20" s="177">
        <v>0</v>
      </c>
      <c r="P20" s="177">
        <v>0</v>
      </c>
    </row>
    <row r="21" spans="1:16" s="30" customFormat="1" ht="18" thickBot="1" x14ac:dyDescent="0.55000000000000004">
      <c r="A21" s="33"/>
      <c r="B21" s="12" t="s">
        <v>281</v>
      </c>
      <c r="C21" s="71">
        <v>8</v>
      </c>
      <c r="D21" s="177">
        <v>0</v>
      </c>
      <c r="E21" s="177">
        <v>0</v>
      </c>
      <c r="F21" s="177">
        <v>0</v>
      </c>
      <c r="G21" s="177">
        <v>0</v>
      </c>
      <c r="H21" s="177">
        <v>0</v>
      </c>
      <c r="I21" s="177">
        <v>0</v>
      </c>
      <c r="J21" s="178" t="s">
        <v>9</v>
      </c>
      <c r="K21" s="177">
        <v>1</v>
      </c>
      <c r="L21" s="177">
        <v>0</v>
      </c>
      <c r="M21" s="177">
        <v>0</v>
      </c>
      <c r="N21" s="177">
        <v>0</v>
      </c>
      <c r="O21" s="177">
        <v>0</v>
      </c>
      <c r="P21" s="177">
        <v>0</v>
      </c>
    </row>
    <row r="22" spans="1:16" s="33" customFormat="1" ht="18" thickBot="1" x14ac:dyDescent="0.55000000000000004">
      <c r="B22" s="12" t="s">
        <v>254</v>
      </c>
      <c r="C22" s="71">
        <v>10</v>
      </c>
      <c r="D22" s="177">
        <v>0</v>
      </c>
      <c r="E22" s="177">
        <v>0</v>
      </c>
      <c r="F22" s="177">
        <v>0</v>
      </c>
      <c r="G22" s="177">
        <v>1</v>
      </c>
      <c r="H22" s="177">
        <v>0</v>
      </c>
      <c r="I22" s="177">
        <v>0</v>
      </c>
      <c r="J22" s="178" t="s">
        <v>9</v>
      </c>
      <c r="K22" s="177">
        <v>1</v>
      </c>
      <c r="L22" s="177">
        <v>0</v>
      </c>
      <c r="M22" s="177">
        <v>0</v>
      </c>
      <c r="N22" s="177">
        <v>0</v>
      </c>
      <c r="O22" s="177">
        <v>0</v>
      </c>
      <c r="P22" s="177">
        <v>0</v>
      </c>
    </row>
    <row r="23" spans="1:16" s="33" customFormat="1" ht="18" thickBot="1" x14ac:dyDescent="0.55000000000000004">
      <c r="B23" s="12" t="s">
        <v>252</v>
      </c>
      <c r="C23" s="71">
        <v>5</v>
      </c>
      <c r="D23" s="177">
        <v>0</v>
      </c>
      <c r="E23" s="177">
        <v>0</v>
      </c>
      <c r="F23" s="177">
        <v>0</v>
      </c>
      <c r="G23" s="177">
        <v>0</v>
      </c>
      <c r="H23" s="177">
        <v>0</v>
      </c>
      <c r="I23" s="177">
        <v>0</v>
      </c>
      <c r="J23" s="178" t="s">
        <v>9</v>
      </c>
      <c r="K23" s="177">
        <v>0</v>
      </c>
      <c r="L23" s="177">
        <v>0</v>
      </c>
      <c r="M23" s="177">
        <v>0</v>
      </c>
      <c r="N23" s="177">
        <v>0</v>
      </c>
      <c r="O23" s="177">
        <v>0</v>
      </c>
      <c r="P23" s="177">
        <v>0</v>
      </c>
    </row>
    <row r="24" spans="1:16" s="33" customFormat="1" ht="18" thickBot="1" x14ac:dyDescent="0.55000000000000004">
      <c r="B24" s="12" t="s">
        <v>282</v>
      </c>
      <c r="C24" s="71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8" t="s">
        <v>9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</row>
    <row r="25" spans="1:16" s="33" customFormat="1" ht="18" thickBot="1" x14ac:dyDescent="0.55000000000000004">
      <c r="B25" s="12" t="s">
        <v>283</v>
      </c>
      <c r="C25" s="71">
        <v>0</v>
      </c>
      <c r="D25" s="177">
        <v>0</v>
      </c>
      <c r="E25" s="177">
        <v>0</v>
      </c>
      <c r="F25" s="177">
        <v>0</v>
      </c>
      <c r="G25" s="177">
        <v>0</v>
      </c>
      <c r="H25" s="177">
        <v>0</v>
      </c>
      <c r="I25" s="177">
        <v>0</v>
      </c>
      <c r="J25" s="178" t="s">
        <v>9</v>
      </c>
      <c r="K25" s="177">
        <v>0</v>
      </c>
      <c r="L25" s="177">
        <v>0</v>
      </c>
      <c r="M25" s="177">
        <v>0</v>
      </c>
      <c r="N25" s="177">
        <v>0</v>
      </c>
      <c r="O25" s="177">
        <v>0</v>
      </c>
      <c r="P25" s="177">
        <v>0</v>
      </c>
    </row>
    <row r="26" spans="1:16" s="33" customFormat="1" ht="18" thickBot="1" x14ac:dyDescent="0.55000000000000004">
      <c r="B26" s="12" t="s">
        <v>284</v>
      </c>
      <c r="C26" s="71">
        <v>0</v>
      </c>
      <c r="D26" s="177">
        <v>0</v>
      </c>
      <c r="E26" s="177">
        <v>0</v>
      </c>
      <c r="F26" s="177">
        <v>0</v>
      </c>
      <c r="G26" s="177">
        <v>0</v>
      </c>
      <c r="H26" s="177">
        <v>0</v>
      </c>
      <c r="I26" s="177">
        <v>0</v>
      </c>
      <c r="J26" s="178" t="s">
        <v>9</v>
      </c>
      <c r="K26" s="177">
        <v>0</v>
      </c>
      <c r="L26" s="177">
        <v>0</v>
      </c>
      <c r="M26" s="177">
        <v>0</v>
      </c>
      <c r="N26" s="177">
        <v>0</v>
      </c>
      <c r="O26" s="177">
        <v>0</v>
      </c>
      <c r="P26" s="177">
        <v>0</v>
      </c>
    </row>
    <row r="27" spans="1:16" s="33" customFormat="1" ht="18" thickBot="1" x14ac:dyDescent="0.55000000000000004">
      <c r="B27" s="12"/>
      <c r="C27" s="71">
        <v>0</v>
      </c>
      <c r="D27" s="177">
        <v>0</v>
      </c>
      <c r="E27" s="177">
        <v>0</v>
      </c>
      <c r="F27" s="177">
        <v>0</v>
      </c>
      <c r="G27" s="177">
        <v>0</v>
      </c>
      <c r="H27" s="177">
        <v>0</v>
      </c>
      <c r="I27" s="177">
        <v>0</v>
      </c>
      <c r="J27" s="178" t="s">
        <v>9</v>
      </c>
      <c r="K27" s="177">
        <v>0</v>
      </c>
      <c r="L27" s="177">
        <v>0</v>
      </c>
      <c r="M27" s="177">
        <v>0</v>
      </c>
      <c r="N27" s="177">
        <v>0</v>
      </c>
      <c r="O27" s="177">
        <v>0</v>
      </c>
      <c r="P27" s="177">
        <v>0</v>
      </c>
    </row>
    <row r="28" spans="1:16" s="33" customFormat="1" ht="18" thickBot="1" x14ac:dyDescent="0.55000000000000004">
      <c r="B28" s="12"/>
      <c r="C28" s="71">
        <v>0</v>
      </c>
      <c r="D28" s="177">
        <v>0</v>
      </c>
      <c r="E28" s="177">
        <v>0</v>
      </c>
      <c r="F28" s="177">
        <v>0</v>
      </c>
      <c r="G28" s="177">
        <v>0</v>
      </c>
      <c r="H28" s="177">
        <v>0</v>
      </c>
      <c r="I28" s="177">
        <v>0</v>
      </c>
      <c r="J28" s="178" t="s">
        <v>9</v>
      </c>
      <c r="K28" s="177">
        <v>0</v>
      </c>
      <c r="L28" s="177">
        <v>0</v>
      </c>
      <c r="M28" s="177">
        <v>0</v>
      </c>
      <c r="N28" s="177">
        <v>0</v>
      </c>
      <c r="O28" s="177">
        <v>0</v>
      </c>
      <c r="P28" s="177">
        <v>0</v>
      </c>
    </row>
    <row r="29" spans="1:16" s="33" customFormat="1" ht="18" thickBot="1" x14ac:dyDescent="0.55000000000000004">
      <c r="B29" s="12"/>
      <c r="C29" s="71">
        <v>0</v>
      </c>
      <c r="D29" s="177">
        <v>0</v>
      </c>
      <c r="E29" s="177">
        <v>0</v>
      </c>
      <c r="F29" s="177">
        <v>0</v>
      </c>
      <c r="G29" s="177">
        <v>0</v>
      </c>
      <c r="H29" s="177">
        <v>0</v>
      </c>
      <c r="I29" s="177">
        <v>0</v>
      </c>
      <c r="J29" s="178" t="s">
        <v>9</v>
      </c>
      <c r="K29" s="177">
        <v>0</v>
      </c>
      <c r="L29" s="177">
        <v>0</v>
      </c>
      <c r="M29" s="177">
        <v>0</v>
      </c>
      <c r="N29" s="177">
        <v>0</v>
      </c>
      <c r="O29" s="177">
        <v>0</v>
      </c>
      <c r="P29" s="177">
        <v>0</v>
      </c>
    </row>
    <row r="30" spans="1:16" s="33" customFormat="1" ht="18" thickBot="1" x14ac:dyDescent="0.55000000000000004">
      <c r="B30" s="12"/>
      <c r="C30" s="71">
        <v>0</v>
      </c>
      <c r="D30" s="177">
        <v>0</v>
      </c>
      <c r="E30" s="177">
        <v>0</v>
      </c>
      <c r="F30" s="177">
        <v>0</v>
      </c>
      <c r="G30" s="177">
        <v>0</v>
      </c>
      <c r="H30" s="177">
        <v>0</v>
      </c>
      <c r="I30" s="177">
        <v>0</v>
      </c>
      <c r="J30" s="178" t="s">
        <v>9</v>
      </c>
      <c r="K30" s="177">
        <v>0</v>
      </c>
      <c r="L30" s="177">
        <v>0</v>
      </c>
      <c r="M30" s="177">
        <v>0</v>
      </c>
      <c r="N30" s="177">
        <v>0</v>
      </c>
      <c r="O30" s="177">
        <v>0</v>
      </c>
      <c r="P30" s="177">
        <v>0</v>
      </c>
    </row>
    <row r="31" spans="1:16" s="33" customFormat="1" ht="18" thickBot="1" x14ac:dyDescent="0.55000000000000004">
      <c r="B31" s="12"/>
      <c r="C31" s="71">
        <v>0</v>
      </c>
      <c r="D31" s="177">
        <v>0</v>
      </c>
      <c r="E31" s="177">
        <v>0</v>
      </c>
      <c r="F31" s="177">
        <v>0</v>
      </c>
      <c r="G31" s="177">
        <v>0</v>
      </c>
      <c r="H31" s="177">
        <v>0</v>
      </c>
      <c r="I31" s="177">
        <v>0</v>
      </c>
      <c r="J31" s="178" t="s">
        <v>9</v>
      </c>
      <c r="K31" s="177">
        <v>0</v>
      </c>
      <c r="L31" s="177">
        <v>0</v>
      </c>
      <c r="M31" s="177">
        <v>0</v>
      </c>
      <c r="N31" s="177">
        <v>0</v>
      </c>
      <c r="O31" s="177">
        <v>0</v>
      </c>
      <c r="P31" s="177">
        <v>0</v>
      </c>
    </row>
    <row r="32" spans="1:16" s="33" customFormat="1" x14ac:dyDescent="0.5"/>
    <row r="33" spans="2:8" x14ac:dyDescent="0.5">
      <c r="D33" s="28"/>
    </row>
    <row r="34" spans="2:8" x14ac:dyDescent="0.5">
      <c r="B34" s="269" t="s">
        <v>236</v>
      </c>
      <c r="C34" s="270"/>
      <c r="D34" s="270"/>
      <c r="E34" s="270"/>
      <c r="F34" s="270"/>
      <c r="G34" s="271"/>
      <c r="H34" s="28"/>
    </row>
    <row r="35" spans="2:8" x14ac:dyDescent="0.5">
      <c r="B35" s="42" t="s">
        <v>183</v>
      </c>
      <c r="C35" s="42" t="s">
        <v>216</v>
      </c>
      <c r="D35" s="42" t="s">
        <v>228</v>
      </c>
      <c r="E35" s="153" t="s">
        <v>120</v>
      </c>
      <c r="F35" s="154" t="s">
        <v>10</v>
      </c>
      <c r="G35" s="42" t="s">
        <v>125</v>
      </c>
    </row>
    <row r="36" spans="2:8" x14ac:dyDescent="0.5">
      <c r="B36" s="42" t="str">
        <f>_xlfn.CONCAT(D36," en ",C36)</f>
        <v>Exótico 1 en Indochina</v>
      </c>
      <c r="C36" s="42" t="s">
        <v>250</v>
      </c>
      <c r="D36" s="42" t="s">
        <v>286</v>
      </c>
      <c r="E36" s="72">
        <v>60</v>
      </c>
      <c r="F36" s="155">
        <v>0</v>
      </c>
      <c r="G36" s="42" t="s">
        <v>13</v>
      </c>
    </row>
    <row r="37" spans="2:8" x14ac:dyDescent="0.5">
      <c r="B37" s="42" t="str">
        <f t="shared" ref="B37:B43" si="2">_xlfn.CONCAT(D37," en ",C37)</f>
        <v>Exótico 2 en Indochina</v>
      </c>
      <c r="C37" s="42" t="s">
        <v>250</v>
      </c>
      <c r="D37" s="42" t="s">
        <v>287</v>
      </c>
      <c r="E37" s="72">
        <v>60</v>
      </c>
      <c r="F37" s="155">
        <v>0</v>
      </c>
      <c r="G37" s="42" t="s">
        <v>13</v>
      </c>
    </row>
    <row r="38" spans="2:8" s="176" customFormat="1" x14ac:dyDescent="0.5">
      <c r="B38" s="42" t="str">
        <f t="shared" si="2"/>
        <v>Materia Prima en Algeria</v>
      </c>
      <c r="C38" s="42" t="s">
        <v>276</v>
      </c>
      <c r="D38" s="42" t="s">
        <v>288</v>
      </c>
      <c r="E38" s="72">
        <v>70</v>
      </c>
      <c r="F38" s="155">
        <v>0</v>
      </c>
      <c r="G38" s="42" t="s">
        <v>13</v>
      </c>
    </row>
    <row r="39" spans="2:8" s="176" customFormat="1" x14ac:dyDescent="0.5">
      <c r="B39" s="42" t="str">
        <f t="shared" si="2"/>
        <v>Exótico en Senegal</v>
      </c>
      <c r="C39" s="42" t="s">
        <v>278</v>
      </c>
      <c r="D39" s="42" t="s">
        <v>289</v>
      </c>
      <c r="E39" s="72">
        <v>70</v>
      </c>
      <c r="F39" s="155">
        <v>0</v>
      </c>
      <c r="G39" s="42" t="s">
        <v>13</v>
      </c>
    </row>
    <row r="40" spans="2:8" s="176" customFormat="1" x14ac:dyDescent="0.5">
      <c r="B40" s="42" t="str">
        <f t="shared" si="2"/>
        <v>Exótico en Costa Marfil</v>
      </c>
      <c r="C40" s="42" t="s">
        <v>290</v>
      </c>
      <c r="D40" s="42" t="s">
        <v>289</v>
      </c>
      <c r="E40" s="72">
        <v>65</v>
      </c>
      <c r="F40" s="155">
        <v>0</v>
      </c>
      <c r="G40" s="42" t="s">
        <v>13</v>
      </c>
    </row>
    <row r="41" spans="2:8" s="182" customFormat="1" x14ac:dyDescent="0.5">
      <c r="B41" s="42" t="str">
        <f t="shared" si="2"/>
        <v>Carbón en Senegal</v>
      </c>
      <c r="C41" s="42" t="s">
        <v>278</v>
      </c>
      <c r="D41" s="42" t="s">
        <v>98</v>
      </c>
      <c r="E41" s="72">
        <v>70</v>
      </c>
      <c r="F41" s="155">
        <v>0</v>
      </c>
      <c r="G41" s="42" t="s">
        <v>13</v>
      </c>
    </row>
    <row r="42" spans="2:8" s="186" customFormat="1" x14ac:dyDescent="0.5">
      <c r="B42" s="42" t="str">
        <f t="shared" si="2"/>
        <v>Exótico en Tombuctú</v>
      </c>
      <c r="C42" s="42" t="s">
        <v>302</v>
      </c>
      <c r="D42" s="42" t="s">
        <v>289</v>
      </c>
      <c r="E42" s="72">
        <v>65</v>
      </c>
      <c r="F42" s="155">
        <v>0.4</v>
      </c>
      <c r="G42" s="42" t="s">
        <v>123</v>
      </c>
    </row>
    <row r="43" spans="2:8" s="176" customFormat="1" x14ac:dyDescent="0.5">
      <c r="B43" s="42" t="str">
        <f t="shared" si="2"/>
        <v>Exótico en Congo Francés</v>
      </c>
      <c r="C43" s="42" t="s">
        <v>254</v>
      </c>
      <c r="D43" s="42" t="s">
        <v>289</v>
      </c>
      <c r="E43" s="72">
        <v>75</v>
      </c>
      <c r="F43" s="155">
        <v>0</v>
      </c>
      <c r="G43" s="42" t="s">
        <v>13</v>
      </c>
    </row>
    <row r="44" spans="2:8" x14ac:dyDescent="0.5">
      <c r="D44" s="262"/>
      <c r="E44" s="262"/>
      <c r="F44" s="13"/>
      <c r="G44" s="28"/>
    </row>
    <row r="45" spans="2:8" x14ac:dyDescent="0.5">
      <c r="D45" s="262"/>
      <c r="E45" s="262"/>
      <c r="F45" s="13"/>
      <c r="G45" s="28"/>
    </row>
    <row r="46" spans="2:8" x14ac:dyDescent="0.5">
      <c r="D46" s="262"/>
      <c r="E46" s="262"/>
      <c r="F46" s="262"/>
      <c r="G46" s="14"/>
    </row>
    <row r="49" spans="4:17" x14ac:dyDescent="0.5">
      <c r="D49" s="262"/>
      <c r="E49" s="262"/>
      <c r="F49" s="262"/>
      <c r="G49" s="262"/>
      <c r="H49" s="262"/>
      <c r="I49" s="262"/>
      <c r="K49" s="262"/>
      <c r="L49" s="262"/>
      <c r="M49" s="262"/>
      <c r="N49" s="262"/>
      <c r="O49" s="262"/>
      <c r="P49" s="262"/>
    </row>
    <row r="53" spans="4:17" x14ac:dyDescent="0.5">
      <c r="D53" s="262"/>
      <c r="E53" s="262"/>
      <c r="F53" s="14"/>
      <c r="G53" s="28"/>
      <c r="I53" s="28"/>
    </row>
    <row r="54" spans="4:17" x14ac:dyDescent="0.5">
      <c r="D54" s="262"/>
      <c r="E54" s="262"/>
      <c r="F54" s="14"/>
      <c r="G54" s="28"/>
    </row>
    <row r="55" spans="4:17" x14ac:dyDescent="0.5">
      <c r="D55" s="262"/>
      <c r="E55" s="262"/>
      <c r="F55" s="14"/>
      <c r="G55" s="28"/>
    </row>
    <row r="56" spans="4:17" x14ac:dyDescent="0.5">
      <c r="D56" s="262"/>
      <c r="E56" s="262"/>
      <c r="F56" s="14"/>
      <c r="G56" s="28"/>
    </row>
    <row r="57" spans="4:17" x14ac:dyDescent="0.5">
      <c r="D57" s="262"/>
      <c r="E57" s="262"/>
      <c r="F57" s="13"/>
      <c r="G57" s="28"/>
      <c r="I57" s="28"/>
    </row>
    <row r="58" spans="4:17" x14ac:dyDescent="0.5">
      <c r="D58" s="262"/>
      <c r="E58" s="262"/>
      <c r="F58" s="13"/>
      <c r="G58" s="28"/>
    </row>
    <row r="59" spans="4:17" x14ac:dyDescent="0.5">
      <c r="D59" s="262"/>
      <c r="E59" s="262"/>
      <c r="F59" s="262"/>
      <c r="G59" s="14"/>
    </row>
    <row r="60" spans="4:17" x14ac:dyDescent="0.5">
      <c r="D60" s="28"/>
      <c r="G60" s="14"/>
      <c r="H60" s="28"/>
    </row>
    <row r="61" spans="4:17" ht="17.649999999999999" customHeight="1" x14ac:dyDescent="0.5">
      <c r="Q61" s="32"/>
    </row>
    <row r="62" spans="4:17" x14ac:dyDescent="0.5"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4:17" x14ac:dyDescent="0.5"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5" spans="2:17" x14ac:dyDescent="0.5">
      <c r="B65" s="28"/>
      <c r="E65" s="28"/>
    </row>
    <row r="66" spans="2:17" x14ac:dyDescent="0.5">
      <c r="C66" s="28"/>
    </row>
    <row r="67" spans="2:17" x14ac:dyDescent="0.5">
      <c r="D67" s="262"/>
      <c r="E67" s="262"/>
      <c r="F67" s="262"/>
      <c r="G67" s="262"/>
      <c r="H67" s="262"/>
      <c r="I67" s="262"/>
      <c r="K67" s="262"/>
      <c r="L67" s="262"/>
      <c r="M67" s="262"/>
      <c r="N67" s="262"/>
      <c r="O67" s="262"/>
      <c r="P67" s="262"/>
    </row>
    <row r="70" spans="2:17" x14ac:dyDescent="0.5">
      <c r="D70" s="28"/>
    </row>
    <row r="71" spans="2:17" x14ac:dyDescent="0.5">
      <c r="D71" s="262"/>
      <c r="E71" s="262"/>
      <c r="F71" s="14"/>
      <c r="G71" s="28"/>
    </row>
    <row r="72" spans="2:17" x14ac:dyDescent="0.5">
      <c r="D72" s="262"/>
      <c r="E72" s="262"/>
      <c r="F72" s="14"/>
    </row>
    <row r="73" spans="2:17" x14ac:dyDescent="0.5">
      <c r="D73" s="262"/>
      <c r="E73" s="262"/>
      <c r="F73" s="13"/>
    </row>
    <row r="74" spans="2:17" x14ac:dyDescent="0.5">
      <c r="D74" s="262"/>
      <c r="E74" s="262"/>
      <c r="F74" s="13"/>
    </row>
    <row r="75" spans="2:17" x14ac:dyDescent="0.5">
      <c r="D75" s="262"/>
      <c r="E75" s="262"/>
      <c r="F75" s="262"/>
      <c r="G75" s="14"/>
    </row>
    <row r="76" spans="2:17" ht="17.649999999999999" customHeight="1" x14ac:dyDescent="0.5">
      <c r="Q76" s="34"/>
    </row>
    <row r="77" spans="2:17" x14ac:dyDescent="0.5"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</row>
    <row r="78" spans="2:17" x14ac:dyDescent="0.5"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</row>
    <row r="81" spans="4:16" x14ac:dyDescent="0.5">
      <c r="E81" s="14"/>
    </row>
    <row r="82" spans="4:16" x14ac:dyDescent="0.5">
      <c r="D82" s="262"/>
      <c r="E82" s="262"/>
      <c r="F82" s="262"/>
      <c r="G82" s="262"/>
      <c r="H82" s="262"/>
      <c r="I82" s="262"/>
      <c r="K82" s="262"/>
      <c r="L82" s="262"/>
      <c r="M82" s="262"/>
      <c r="N82" s="262"/>
      <c r="O82" s="262"/>
      <c r="P82" s="262"/>
    </row>
    <row r="86" spans="4:16" x14ac:dyDescent="0.5">
      <c r="D86" s="262"/>
      <c r="E86" s="262"/>
    </row>
    <row r="87" spans="4:16" x14ac:dyDescent="0.5">
      <c r="D87" s="262"/>
      <c r="E87" s="262"/>
      <c r="F87" s="14"/>
    </row>
    <row r="90" spans="4:16" x14ac:dyDescent="0.5">
      <c r="E90" s="14"/>
      <c r="F90" s="28"/>
      <c r="J90" s="28"/>
    </row>
    <row r="91" spans="4:16" x14ac:dyDescent="0.5">
      <c r="D91" s="262"/>
      <c r="E91" s="262"/>
      <c r="F91" s="262"/>
      <c r="G91" s="262"/>
      <c r="H91" s="262"/>
      <c r="I91" s="262"/>
      <c r="K91" s="262"/>
      <c r="L91" s="262"/>
      <c r="M91" s="262"/>
      <c r="N91" s="262"/>
      <c r="O91" s="262"/>
      <c r="P91" s="262"/>
    </row>
    <row r="95" spans="4:16" x14ac:dyDescent="0.5">
      <c r="D95" s="262"/>
      <c r="E95" s="262"/>
      <c r="F95" s="14"/>
      <c r="H95" s="28"/>
    </row>
    <row r="96" spans="4:16" x14ac:dyDescent="0.5">
      <c r="D96" s="262"/>
      <c r="E96" s="262"/>
      <c r="F96" s="14"/>
    </row>
    <row r="97" spans="2:17" x14ac:dyDescent="0.5">
      <c r="D97" s="262"/>
      <c r="E97" s="262"/>
      <c r="F97" s="13"/>
    </row>
    <row r="98" spans="2:17" x14ac:dyDescent="0.5">
      <c r="D98" s="262"/>
      <c r="E98" s="262"/>
      <c r="F98" s="262"/>
      <c r="G98" s="14"/>
    </row>
    <row r="99" spans="2:17" ht="18.75" customHeight="1" x14ac:dyDescent="0.5">
      <c r="Q99" s="34"/>
    </row>
    <row r="100" spans="2:17" x14ac:dyDescent="0.5"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</row>
    <row r="101" spans="2:17" x14ac:dyDescent="0.5"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</row>
    <row r="102" spans="2:17" x14ac:dyDescent="0.5"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</row>
    <row r="104" spans="2:17" x14ac:dyDescent="0.5">
      <c r="B104" s="28"/>
    </row>
    <row r="105" spans="2:17" x14ac:dyDescent="0.5">
      <c r="C105" s="28"/>
      <c r="I105" s="14"/>
    </row>
    <row r="107" spans="2:17" x14ac:dyDescent="0.5">
      <c r="E107" s="14"/>
      <c r="F107" s="28"/>
    </row>
    <row r="109" spans="2:17" x14ac:dyDescent="0.5">
      <c r="D109" s="262"/>
      <c r="E109" s="262"/>
      <c r="F109" s="14"/>
    </row>
    <row r="111" spans="2:17" x14ac:dyDescent="0.5">
      <c r="E111" s="14"/>
    </row>
    <row r="114" spans="4:16" x14ac:dyDescent="0.5">
      <c r="E114" s="14"/>
      <c r="F114" s="28"/>
    </row>
    <row r="115" spans="4:16" x14ac:dyDescent="0.5">
      <c r="D115" s="28"/>
    </row>
    <row r="116" spans="4:16" x14ac:dyDescent="0.5">
      <c r="D116" s="262"/>
      <c r="E116" s="262"/>
      <c r="F116" s="14"/>
      <c r="G116" s="28"/>
      <c r="I116" s="28"/>
    </row>
    <row r="117" spans="4:16" x14ac:dyDescent="0.5">
      <c r="D117" s="262"/>
      <c r="E117" s="262"/>
      <c r="F117" s="14"/>
      <c r="G117" s="28"/>
    </row>
    <row r="118" spans="4:16" x14ac:dyDescent="0.5">
      <c r="D118" s="262"/>
      <c r="E118" s="262"/>
      <c r="F118" s="14"/>
      <c r="G118" s="28"/>
    </row>
    <row r="119" spans="4:16" x14ac:dyDescent="0.5">
      <c r="D119" s="262"/>
      <c r="E119" s="262"/>
      <c r="F119" s="14"/>
      <c r="G119" s="14"/>
      <c r="I119" s="28"/>
    </row>
    <row r="120" spans="4:16" x14ac:dyDescent="0.5"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</row>
    <row r="121" spans="4:16" x14ac:dyDescent="0.5">
      <c r="E121" s="14"/>
      <c r="F121" s="28"/>
    </row>
    <row r="122" spans="4:16" x14ac:dyDescent="0.5">
      <c r="D122" s="262"/>
      <c r="E122" s="262"/>
    </row>
    <row r="123" spans="4:16" x14ac:dyDescent="0.5">
      <c r="D123" s="262"/>
      <c r="E123" s="262"/>
      <c r="F123" s="14"/>
      <c r="H123" s="28"/>
    </row>
    <row r="124" spans="4:16" x14ac:dyDescent="0.5">
      <c r="D124" s="262"/>
      <c r="E124" s="262"/>
      <c r="F124" s="262"/>
      <c r="G124" s="262"/>
      <c r="H124" s="262"/>
      <c r="I124" s="262"/>
      <c r="K124" s="262"/>
      <c r="L124" s="262"/>
      <c r="M124" s="262"/>
      <c r="N124" s="262"/>
      <c r="O124" s="262"/>
      <c r="P124" s="262"/>
    </row>
    <row r="127" spans="4:16" x14ac:dyDescent="0.5">
      <c r="G127" s="14"/>
    </row>
    <row r="128" spans="4:16" x14ac:dyDescent="0.5">
      <c r="G128" s="14"/>
    </row>
    <row r="129" spans="2:7" x14ac:dyDescent="0.5">
      <c r="E129" s="14"/>
      <c r="G129" s="14"/>
    </row>
    <row r="131" spans="2:7" x14ac:dyDescent="0.5">
      <c r="E131" s="14"/>
    </row>
    <row r="133" spans="2:7" x14ac:dyDescent="0.5">
      <c r="G133" s="14"/>
    </row>
    <row r="136" spans="2:7" x14ac:dyDescent="0.5">
      <c r="E136" s="14"/>
    </row>
    <row r="137" spans="2:7" x14ac:dyDescent="0.5">
      <c r="D137" s="262"/>
      <c r="E137" s="262"/>
    </row>
    <row r="138" spans="2:7" x14ac:dyDescent="0.5">
      <c r="D138" s="262"/>
      <c r="E138" s="262"/>
      <c r="F138" s="14"/>
    </row>
    <row r="140" spans="2:7" x14ac:dyDescent="0.5">
      <c r="B140" s="36"/>
    </row>
    <row r="141" spans="2:7" x14ac:dyDescent="0.5">
      <c r="B141" s="36"/>
      <c r="C141" s="36"/>
      <c r="F141" s="36"/>
    </row>
    <row r="142" spans="2:7" x14ac:dyDescent="0.5">
      <c r="B142" s="36"/>
      <c r="C142" s="36"/>
    </row>
    <row r="143" spans="2:7" x14ac:dyDescent="0.5">
      <c r="B143" s="36"/>
      <c r="C143" s="36"/>
    </row>
    <row r="144" spans="2:7" x14ac:dyDescent="0.5">
      <c r="B144" s="36"/>
      <c r="C144" s="36"/>
    </row>
    <row r="145" spans="2:16" x14ac:dyDescent="0.5">
      <c r="C145" s="36"/>
    </row>
    <row r="148" spans="2:16" x14ac:dyDescent="0.5">
      <c r="D148" s="28"/>
      <c r="K148" s="28"/>
    </row>
    <row r="149" spans="2:16" x14ac:dyDescent="0.5">
      <c r="B149" s="37"/>
      <c r="D149" s="262"/>
      <c r="E149" s="262"/>
      <c r="F149" s="262"/>
      <c r="G149" s="262"/>
      <c r="H149" s="262"/>
      <c r="I149" s="262"/>
      <c r="K149" s="262"/>
      <c r="L149" s="262"/>
      <c r="M149" s="262"/>
      <c r="N149" s="262"/>
      <c r="O149" s="262"/>
      <c r="P149" s="262"/>
    </row>
    <row r="150" spans="2:16" x14ac:dyDescent="0.5">
      <c r="C150" s="37"/>
    </row>
    <row r="154" spans="2:16" x14ac:dyDescent="0.5">
      <c r="D154" s="262"/>
      <c r="E154" s="262"/>
      <c r="F154" s="262"/>
      <c r="G154" s="262"/>
      <c r="H154" s="262"/>
      <c r="I154" s="262"/>
      <c r="K154" s="262"/>
      <c r="L154" s="262"/>
      <c r="M154" s="262"/>
      <c r="N154" s="262"/>
      <c r="O154" s="262"/>
      <c r="P154" s="262"/>
    </row>
    <row r="157" spans="2:16" x14ac:dyDescent="0.5">
      <c r="B157" s="28"/>
    </row>
    <row r="158" spans="2:16" x14ac:dyDescent="0.5">
      <c r="C158" s="28"/>
      <c r="D158" s="28"/>
      <c r="F158" s="38"/>
    </row>
    <row r="160" spans="2:16" x14ac:dyDescent="0.5"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</row>
    <row r="161" spans="4:16" x14ac:dyDescent="0.5">
      <c r="D161" s="262"/>
      <c r="E161" s="262"/>
      <c r="F161" s="262"/>
      <c r="G161" s="262"/>
      <c r="H161" s="262"/>
      <c r="I161" s="262"/>
      <c r="K161" s="262"/>
      <c r="L161" s="262"/>
      <c r="M161" s="262"/>
      <c r="N161" s="262"/>
      <c r="O161" s="262"/>
      <c r="P161" s="262"/>
    </row>
    <row r="165" spans="4:16" x14ac:dyDescent="0.5">
      <c r="E165" s="14"/>
      <c r="F165" s="28"/>
    </row>
  </sheetData>
  <sheetProtection algorithmName="SHA-512" hashValue="pF5eFcu3ndNSgodPUBl5rw7Bi88nJn/PVKdaW/EmnGDqnxu2iUf6flwdTH0YPH18AWolaPx/6F0GPKj11cgUMw==" saltValue="qdlKgi8gxzOqf5K3tcpIBQ==" spinCount="100000" sheet="1" objects="1" scenarios="1"/>
  <mergeCells count="54">
    <mergeCell ref="D137:E137"/>
    <mergeCell ref="D123:E123"/>
    <mergeCell ref="D124:I124"/>
    <mergeCell ref="D154:I154"/>
    <mergeCell ref="K154:P154"/>
    <mergeCell ref="D149:I149"/>
    <mergeCell ref="K149:P149"/>
    <mergeCell ref="D138:E138"/>
    <mergeCell ref="D82:I82"/>
    <mergeCell ref="D117:E117"/>
    <mergeCell ref="D120:P120"/>
    <mergeCell ref="D118:E118"/>
    <mergeCell ref="D119:E119"/>
    <mergeCell ref="K82:P82"/>
    <mergeCell ref="D87:E87"/>
    <mergeCell ref="D86:E86"/>
    <mergeCell ref="D98:F98"/>
    <mergeCell ref="D91:I91"/>
    <mergeCell ref="K91:P91"/>
    <mergeCell ref="D95:E95"/>
    <mergeCell ref="D96:E96"/>
    <mergeCell ref="D97:E97"/>
    <mergeCell ref="D56:E56"/>
    <mergeCell ref="D74:E74"/>
    <mergeCell ref="D75:F75"/>
    <mergeCell ref="D57:E57"/>
    <mergeCell ref="D58:E58"/>
    <mergeCell ref="D59:F59"/>
    <mergeCell ref="D67:I67"/>
    <mergeCell ref="B1:P1"/>
    <mergeCell ref="K9:P9"/>
    <mergeCell ref="D45:E45"/>
    <mergeCell ref="B5:B6"/>
    <mergeCell ref="K5:P5"/>
    <mergeCell ref="D44:E44"/>
    <mergeCell ref="C5:I5"/>
    <mergeCell ref="C9:H9"/>
    <mergeCell ref="B34:G34"/>
    <mergeCell ref="D161:I161"/>
    <mergeCell ref="K161:P161"/>
    <mergeCell ref="K124:P124"/>
    <mergeCell ref="D46:F46"/>
    <mergeCell ref="D49:I49"/>
    <mergeCell ref="K49:P49"/>
    <mergeCell ref="D53:E53"/>
    <mergeCell ref="K67:P67"/>
    <mergeCell ref="D71:E71"/>
    <mergeCell ref="D72:E72"/>
    <mergeCell ref="D73:E73"/>
    <mergeCell ref="D55:E55"/>
    <mergeCell ref="D109:E109"/>
    <mergeCell ref="D122:E122"/>
    <mergeCell ref="D116:E116"/>
    <mergeCell ref="D54:E5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0D65-F908-42C6-A226-F14DF877A3E4}">
  <dimension ref="A1:I36"/>
  <sheetViews>
    <sheetView showGridLines="0" workbookViewId="0"/>
  </sheetViews>
  <sheetFormatPr defaultColWidth="9.1328125" defaultRowHeight="12.75" x14ac:dyDescent="0.35"/>
  <cols>
    <col min="4" max="4" width="10.9296875" bestFit="1" customWidth="1"/>
    <col min="5" max="5" width="10.9296875" style="26" customWidth="1"/>
    <col min="7" max="7" width="29.1328125" bestFit="1" customWidth="1"/>
  </cols>
  <sheetData>
    <row r="1" spans="1:9" x14ac:dyDescent="0.35">
      <c r="C1" s="74" t="s">
        <v>5</v>
      </c>
      <c r="D1" s="73">
        <f>SUM(D4:D46)</f>
        <v>0</v>
      </c>
      <c r="E1" s="188"/>
    </row>
    <row r="2" spans="1:9" s="26" customFormat="1" ht="13.15" thickBot="1" x14ac:dyDescent="0.4"/>
    <row r="3" spans="1:9" s="26" customFormat="1" x14ac:dyDescent="0.35">
      <c r="A3" s="273" t="s">
        <v>234</v>
      </c>
      <c r="B3" s="273"/>
      <c r="C3" s="273"/>
      <c r="D3" s="273"/>
      <c r="E3" s="273"/>
      <c r="G3" s="274" t="s">
        <v>235</v>
      </c>
      <c r="H3" s="275"/>
      <c r="I3" s="276"/>
    </row>
    <row r="4" spans="1:9" x14ac:dyDescent="0.35">
      <c r="A4" s="273" t="s">
        <v>229</v>
      </c>
      <c r="B4" s="273"/>
      <c r="C4" s="273"/>
      <c r="D4" s="189" t="s">
        <v>230</v>
      </c>
      <c r="E4" s="189"/>
      <c r="G4" s="77" t="s">
        <v>229</v>
      </c>
      <c r="H4" s="75" t="s">
        <v>120</v>
      </c>
      <c r="I4" s="78" t="s">
        <v>126</v>
      </c>
    </row>
    <row r="5" spans="1:9" x14ac:dyDescent="0.35">
      <c r="A5" s="273" t="s">
        <v>292</v>
      </c>
      <c r="B5" s="273"/>
      <c r="C5" s="273"/>
      <c r="D5" s="189" t="s">
        <v>295</v>
      </c>
      <c r="E5" s="189">
        <v>1891</v>
      </c>
      <c r="G5" s="77" t="s">
        <v>272</v>
      </c>
      <c r="H5" s="76">
        <v>40</v>
      </c>
      <c r="I5" s="78">
        <v>2</v>
      </c>
    </row>
    <row r="6" spans="1:9" x14ac:dyDescent="0.35">
      <c r="A6" s="273" t="s">
        <v>296</v>
      </c>
      <c r="B6" s="273"/>
      <c r="C6" s="273"/>
      <c r="D6" s="190" t="s">
        <v>301</v>
      </c>
      <c r="E6" s="190">
        <v>1895</v>
      </c>
      <c r="G6" s="77" t="s">
        <v>291</v>
      </c>
      <c r="H6" s="76">
        <v>40</v>
      </c>
      <c r="I6" s="78">
        <v>2</v>
      </c>
    </row>
    <row r="7" spans="1:9" x14ac:dyDescent="0.35">
      <c r="A7" s="273"/>
      <c r="B7" s="273"/>
      <c r="C7" s="273"/>
      <c r="D7" s="190"/>
      <c r="E7" s="190"/>
      <c r="G7" s="77"/>
      <c r="H7" s="76"/>
      <c r="I7" s="78"/>
    </row>
    <row r="8" spans="1:9" x14ac:dyDescent="0.35">
      <c r="A8" s="273"/>
      <c r="B8" s="273"/>
      <c r="C8" s="273"/>
      <c r="D8" s="190"/>
      <c r="E8" s="190"/>
      <c r="G8" s="77"/>
      <c r="H8" s="76"/>
      <c r="I8" s="78"/>
    </row>
    <row r="9" spans="1:9" x14ac:dyDescent="0.35">
      <c r="A9" s="273"/>
      <c r="B9" s="273"/>
      <c r="C9" s="273"/>
      <c r="D9" s="189"/>
      <c r="E9" s="189"/>
      <c r="G9" s="77"/>
      <c r="H9" s="76"/>
      <c r="I9" s="78"/>
    </row>
    <row r="10" spans="1:9" x14ac:dyDescent="0.35">
      <c r="A10" s="273"/>
      <c r="B10" s="273"/>
      <c r="C10" s="273"/>
      <c r="D10" s="190"/>
      <c r="E10" s="190"/>
      <c r="G10" s="77"/>
      <c r="H10" s="76"/>
      <c r="I10" s="78"/>
    </row>
    <row r="11" spans="1:9" x14ac:dyDescent="0.35">
      <c r="A11" s="273"/>
      <c r="B11" s="273"/>
      <c r="C11" s="273"/>
      <c r="D11" s="189"/>
      <c r="E11" s="189"/>
      <c r="G11" s="77"/>
      <c r="H11" s="76"/>
      <c r="I11" s="78"/>
    </row>
    <row r="12" spans="1:9" x14ac:dyDescent="0.35">
      <c r="A12" s="273"/>
      <c r="B12" s="273"/>
      <c r="C12" s="273"/>
      <c r="D12" s="189"/>
      <c r="E12" s="189"/>
      <c r="G12" s="77"/>
      <c r="H12" s="76"/>
      <c r="I12" s="78"/>
    </row>
    <row r="13" spans="1:9" x14ac:dyDescent="0.35">
      <c r="A13" s="273"/>
      <c r="B13" s="273"/>
      <c r="C13" s="273"/>
      <c r="D13" s="189"/>
      <c r="E13" s="189"/>
      <c r="G13" s="77"/>
      <c r="H13" s="76"/>
      <c r="I13" s="78"/>
    </row>
    <row r="14" spans="1:9" ht="13.15" thickBot="1" x14ac:dyDescent="0.4">
      <c r="A14" s="273"/>
      <c r="B14" s="273"/>
      <c r="C14" s="273"/>
      <c r="D14" s="189"/>
      <c r="E14" s="189"/>
      <c r="G14" s="79"/>
      <c r="H14" s="174"/>
      <c r="I14" s="80"/>
    </row>
    <row r="15" spans="1:9" x14ac:dyDescent="0.35">
      <c r="D15" s="27"/>
      <c r="E15" s="27"/>
    </row>
    <row r="16" spans="1:9" x14ac:dyDescent="0.35">
      <c r="D16" s="27"/>
      <c r="E16" s="27"/>
    </row>
    <row r="17" spans="4:5" x14ac:dyDescent="0.35">
      <c r="D17" s="27"/>
      <c r="E17" s="27"/>
    </row>
    <row r="18" spans="4:5" x14ac:dyDescent="0.35">
      <c r="D18" s="27"/>
      <c r="E18" s="27"/>
    </row>
    <row r="19" spans="4:5" x14ac:dyDescent="0.35">
      <c r="D19" s="27"/>
      <c r="E19" s="27"/>
    </row>
    <row r="20" spans="4:5" x14ac:dyDescent="0.35">
      <c r="D20" s="27"/>
      <c r="E20" s="27"/>
    </row>
    <row r="21" spans="4:5" x14ac:dyDescent="0.35">
      <c r="D21" s="27"/>
      <c r="E21" s="27"/>
    </row>
    <row r="22" spans="4:5" x14ac:dyDescent="0.35">
      <c r="D22" s="27"/>
      <c r="E22" s="27"/>
    </row>
    <row r="23" spans="4:5" x14ac:dyDescent="0.35">
      <c r="D23" s="27"/>
      <c r="E23" s="27"/>
    </row>
    <row r="24" spans="4:5" x14ac:dyDescent="0.35">
      <c r="D24" s="27"/>
      <c r="E24" s="27"/>
    </row>
    <row r="25" spans="4:5" x14ac:dyDescent="0.35">
      <c r="D25" s="27"/>
      <c r="E25" s="27"/>
    </row>
    <row r="26" spans="4:5" x14ac:dyDescent="0.35">
      <c r="D26" s="27"/>
      <c r="E26" s="27"/>
    </row>
    <row r="27" spans="4:5" x14ac:dyDescent="0.35">
      <c r="D27" s="27"/>
      <c r="E27" s="27"/>
    </row>
    <row r="28" spans="4:5" x14ac:dyDescent="0.35">
      <c r="D28" s="27"/>
      <c r="E28" s="27"/>
    </row>
    <row r="29" spans="4:5" x14ac:dyDescent="0.35">
      <c r="D29" s="27"/>
      <c r="E29" s="27"/>
    </row>
    <row r="30" spans="4:5" x14ac:dyDescent="0.35">
      <c r="D30" s="27"/>
      <c r="E30" s="27"/>
    </row>
    <row r="31" spans="4:5" x14ac:dyDescent="0.35">
      <c r="D31" s="27"/>
      <c r="E31" s="27"/>
    </row>
    <row r="32" spans="4:5" x14ac:dyDescent="0.35">
      <c r="D32" s="27"/>
      <c r="E32" s="27"/>
    </row>
    <row r="33" spans="4:5" x14ac:dyDescent="0.35">
      <c r="D33" s="27"/>
      <c r="E33" s="27"/>
    </row>
    <row r="34" spans="4:5" x14ac:dyDescent="0.35">
      <c r="D34" s="27"/>
      <c r="E34" s="27"/>
    </row>
    <row r="35" spans="4:5" x14ac:dyDescent="0.35">
      <c r="D35" s="27"/>
      <c r="E35" s="27"/>
    </row>
    <row r="36" spans="4:5" x14ac:dyDescent="0.35">
      <c r="D36" s="27"/>
      <c r="E36" s="27"/>
    </row>
  </sheetData>
  <sheetProtection algorithmName="SHA-512" hashValue="W2A0leOmetu8SWeT4i1J6GiTWrxeGhCPvT0Lazr9tPgWfc4IpsO3db1A60ORdXelcYVmWB/fkXhm8Bn7W2Yf0A==" saltValue="sdoaRWkkGeshGxXHOaOdrw==" spinCount="100000" sheet="1" objects="1" scenarios="1"/>
  <mergeCells count="13">
    <mergeCell ref="G3:I3"/>
    <mergeCell ref="A10:C10"/>
    <mergeCell ref="A11:C11"/>
    <mergeCell ref="A12:C12"/>
    <mergeCell ref="A3:E3"/>
    <mergeCell ref="A13:C13"/>
    <mergeCell ref="A14:C14"/>
    <mergeCell ref="A4:C4"/>
    <mergeCell ref="A5:C5"/>
    <mergeCell ref="A6:C6"/>
    <mergeCell ref="A7:C7"/>
    <mergeCell ref="A8:C8"/>
    <mergeCell ref="A9:C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6"/>
  <sheetViews>
    <sheetView topLeftCell="A3" workbookViewId="0">
      <selection activeCell="D15" sqref="D15"/>
    </sheetView>
  </sheetViews>
  <sheetFormatPr defaultColWidth="9.1328125" defaultRowHeight="17.649999999999999" x14ac:dyDescent="0.5"/>
  <cols>
    <col min="1" max="1" width="9.1328125" style="1"/>
    <col min="2" max="2" width="13" style="1" customWidth="1"/>
    <col min="3" max="3" width="11" style="1" customWidth="1"/>
    <col min="4" max="9" width="9.1328125" style="1"/>
    <col min="10" max="10" width="12.6640625" style="1" customWidth="1"/>
    <col min="11" max="12" width="9.1328125" style="1"/>
    <col min="13" max="13" width="9.53125" style="1" customWidth="1"/>
    <col min="14" max="14" width="9.1328125" style="1"/>
    <col min="15" max="15" width="10.86328125" style="1" customWidth="1"/>
    <col min="16" max="16" width="14.33203125" style="1" customWidth="1"/>
    <col min="17" max="17" width="10.6640625" style="1" bestFit="1" customWidth="1"/>
    <col min="18" max="19" width="9.1328125" style="1"/>
    <col min="20" max="20" width="11.33203125" style="1" customWidth="1"/>
    <col min="21" max="16384" width="9.1328125" style="1"/>
  </cols>
  <sheetData>
    <row r="1" spans="1:21" x14ac:dyDescent="0.5">
      <c r="D1" s="1" t="s">
        <v>28</v>
      </c>
      <c r="I1" s="277" t="s">
        <v>29</v>
      </c>
      <c r="P1" s="277" t="s">
        <v>32</v>
      </c>
      <c r="Q1" s="277" t="s">
        <v>33</v>
      </c>
    </row>
    <row r="2" spans="1:21" x14ac:dyDescent="0.5">
      <c r="I2" s="277"/>
      <c r="J2" s="1" t="s">
        <v>19</v>
      </c>
      <c r="K2" s="1" t="s">
        <v>20</v>
      </c>
      <c r="L2" s="1" t="s">
        <v>21</v>
      </c>
      <c r="M2" s="1" t="s">
        <v>22</v>
      </c>
      <c r="N2" s="1" t="s">
        <v>30</v>
      </c>
      <c r="O2" s="1" t="s">
        <v>31</v>
      </c>
      <c r="P2" s="277"/>
      <c r="Q2" s="277"/>
      <c r="T2" s="1" t="s">
        <v>45</v>
      </c>
    </row>
    <row r="3" spans="1:21" x14ac:dyDescent="0.5">
      <c r="B3" s="1" t="s">
        <v>12</v>
      </c>
      <c r="D3" s="1" t="s">
        <v>11</v>
      </c>
      <c r="I3" s="1" t="s">
        <v>15</v>
      </c>
      <c r="J3" s="1">
        <f>IF(Econ!C126&gt;0,(VLOOKUP(Econ!D126,Land_Builds,2)*Econ!C126),0)</f>
        <v>0</v>
      </c>
      <c r="K3" s="1">
        <f>IF(Econ!E126&gt;0,(VLOOKUP(Econ!F126,Land_Builds,3)*Econ!E126),0)</f>
        <v>0</v>
      </c>
      <c r="L3" s="1">
        <f>IF(Econ!G126&gt;0,(VLOOKUP(Econ!H126,Land_Builds,4)*Econ!G126),0)</f>
        <v>0</v>
      </c>
      <c r="M3" s="1">
        <f>IF(Econ!I126&gt;0,(VLOOKUP(Econ!J126,Land_Builds,5)*Econ!I126),0)</f>
        <v>0</v>
      </c>
      <c r="N3" s="1">
        <f>COUNTIFS(J3:M3,"&gt;0")</f>
        <v>0</v>
      </c>
      <c r="O3" s="1">
        <f>IF(N3&gt;0,N3-1,0)</f>
        <v>0</v>
      </c>
      <c r="P3" s="2">
        <f>O3*5</f>
        <v>0</v>
      </c>
      <c r="Q3" s="2">
        <f>J3+K3+L3+M3+P3</f>
        <v>0</v>
      </c>
    </row>
    <row r="4" spans="1:21" x14ac:dyDescent="0.5">
      <c r="D4" s="1" t="s">
        <v>23</v>
      </c>
      <c r="I4" s="1" t="s">
        <v>16</v>
      </c>
      <c r="J4" s="1">
        <f>IF(Econ!C127&gt;0,(VLOOKUP(Econ!D127,Land_Builds,2)*Econ!C127),0)</f>
        <v>0</v>
      </c>
      <c r="K4" s="1">
        <f>IF(Econ!E127&gt;0,(VLOOKUP(Econ!F127,Land_Builds,3)*Econ!E127),0)</f>
        <v>0</v>
      </c>
      <c r="L4" s="1">
        <f>IF(Econ!G127&gt;0,(VLOOKUP(Econ!H127,Land_Builds,4)*Econ!G127),0)</f>
        <v>0</v>
      </c>
      <c r="M4" s="1">
        <f>IF(Econ!I127&gt;0,(VLOOKUP(Econ!J127,Land_Builds,5)*Econ!I127),0)</f>
        <v>0</v>
      </c>
      <c r="N4" s="1">
        <f t="shared" ref="N4:N6" si="0">COUNTIFS(J4:M4,"&gt;0")</f>
        <v>0</v>
      </c>
      <c r="O4" s="1">
        <f t="shared" ref="O4:O6" si="1">IF(N4&gt;0,N4-1,0)</f>
        <v>0</v>
      </c>
      <c r="P4" s="2">
        <f t="shared" ref="P4:P6" si="2">O4*5</f>
        <v>0</v>
      </c>
      <c r="Q4" s="2">
        <f t="shared" ref="Q4:Q6" si="3">J4+K4+L4+M4+P4</f>
        <v>0</v>
      </c>
      <c r="T4" s="1" t="s">
        <v>185</v>
      </c>
      <c r="U4" s="2">
        <v>20</v>
      </c>
    </row>
    <row r="5" spans="1:21" x14ac:dyDescent="0.5">
      <c r="B5" s="1" t="s">
        <v>13</v>
      </c>
      <c r="D5" s="1" t="s">
        <v>24</v>
      </c>
      <c r="I5" s="1" t="s">
        <v>17</v>
      </c>
      <c r="J5" s="1">
        <f>IF(Econ!C128&gt;0,(VLOOKUP(Econ!D128,Land_Builds,2)*Econ!C128),0)</f>
        <v>0</v>
      </c>
      <c r="K5" s="1">
        <f>IF(Econ!E128&gt;0,(VLOOKUP(Econ!F128,Land_Builds,3)*Econ!E128),0)</f>
        <v>0</v>
      </c>
      <c r="L5" s="1">
        <f>IF(Econ!G128&gt;0,(VLOOKUP(Econ!H128,Land_Builds,4)*Econ!G128),0)</f>
        <v>0</v>
      </c>
      <c r="M5" s="1">
        <f>IF(Econ!I128&gt;0,(VLOOKUP(Econ!J128,Land_Builds,5)*Econ!I128),0)</f>
        <v>0</v>
      </c>
      <c r="N5" s="1">
        <f t="shared" si="0"/>
        <v>0</v>
      </c>
      <c r="O5" s="1">
        <f t="shared" si="1"/>
        <v>0</v>
      </c>
      <c r="P5" s="2">
        <f t="shared" si="2"/>
        <v>0</v>
      </c>
      <c r="Q5" s="2">
        <f t="shared" si="3"/>
        <v>0</v>
      </c>
      <c r="T5" s="1" t="s">
        <v>186</v>
      </c>
      <c r="U5" s="2">
        <v>30</v>
      </c>
    </row>
    <row r="6" spans="1:21" x14ac:dyDescent="0.5">
      <c r="B6" s="1" t="s">
        <v>123</v>
      </c>
      <c r="D6" s="1" t="s">
        <v>25</v>
      </c>
      <c r="I6" s="1" t="s">
        <v>18</v>
      </c>
      <c r="J6" s="1">
        <f>IF(Econ!C129&gt;0,(VLOOKUP(Econ!D129,Land_Builds,2)*Econ!C129),0)</f>
        <v>0</v>
      </c>
      <c r="K6" s="1">
        <f>IF(Econ!E129&gt;0,(VLOOKUP(Econ!F129,Land_Builds,3)*Econ!E129),0)</f>
        <v>0</v>
      </c>
      <c r="L6" s="1">
        <f>IF(Econ!G129&gt;0,(VLOOKUP(Econ!H129,Land_Builds,4)*Econ!G129),0)</f>
        <v>0</v>
      </c>
      <c r="M6" s="1">
        <f>IF(Econ!I129&gt;0,(VLOOKUP(Econ!J129,Land_Builds,5)*Econ!I129),0)</f>
        <v>0</v>
      </c>
      <c r="N6" s="1">
        <f t="shared" si="0"/>
        <v>0</v>
      </c>
      <c r="O6" s="1">
        <f t="shared" si="1"/>
        <v>0</v>
      </c>
      <c r="P6" s="2">
        <f t="shared" si="2"/>
        <v>0</v>
      </c>
      <c r="Q6" s="2">
        <f t="shared" si="3"/>
        <v>0</v>
      </c>
      <c r="T6" s="1" t="s">
        <v>187</v>
      </c>
      <c r="U6" s="2">
        <v>20</v>
      </c>
    </row>
    <row r="7" spans="1:21" x14ac:dyDescent="0.5">
      <c r="D7" s="1" t="s">
        <v>26</v>
      </c>
      <c r="T7" s="1" t="s">
        <v>188</v>
      </c>
      <c r="U7" s="2">
        <v>5</v>
      </c>
    </row>
    <row r="8" spans="1:21" x14ac:dyDescent="0.5">
      <c r="D8" s="1" t="s">
        <v>27</v>
      </c>
    </row>
    <row r="9" spans="1:21" x14ac:dyDescent="0.5">
      <c r="I9" s="1" t="s">
        <v>9</v>
      </c>
    </row>
    <row r="10" spans="1:21" x14ac:dyDescent="0.5">
      <c r="I10" s="1" t="s">
        <v>9</v>
      </c>
      <c r="J10" s="1" t="s">
        <v>9</v>
      </c>
      <c r="K10" s="1" t="s">
        <v>9</v>
      </c>
      <c r="L10" s="1" t="s">
        <v>9</v>
      </c>
    </row>
    <row r="11" spans="1:21" x14ac:dyDescent="0.5">
      <c r="B11" s="5" t="s">
        <v>14</v>
      </c>
      <c r="J11" s="278" t="s">
        <v>48</v>
      </c>
      <c r="K11" s="278"/>
      <c r="L11" s="278"/>
      <c r="M11" s="278"/>
      <c r="N11" s="278"/>
      <c r="Q11" s="1" t="s">
        <v>50</v>
      </c>
    </row>
    <row r="12" spans="1:21" x14ac:dyDescent="0.5">
      <c r="B12" s="1" t="s">
        <v>28</v>
      </c>
      <c r="C12" s="1" t="s">
        <v>19</v>
      </c>
      <c r="D12" s="1" t="s">
        <v>20</v>
      </c>
      <c r="E12" s="1" t="s">
        <v>21</v>
      </c>
      <c r="F12" s="1" t="s">
        <v>22</v>
      </c>
      <c r="I12" s="1" t="s">
        <v>9</v>
      </c>
      <c r="K12" s="1" t="s">
        <v>7</v>
      </c>
      <c r="L12" s="1" t="s">
        <v>0</v>
      </c>
      <c r="M12" s="1" t="s">
        <v>4</v>
      </c>
      <c r="N12" s="1" t="s">
        <v>49</v>
      </c>
      <c r="P12" s="1" t="s">
        <v>51</v>
      </c>
      <c r="Q12" s="1">
        <f>ROUNDUP(Econ!B4,0)</f>
        <v>39</v>
      </c>
    </row>
    <row r="13" spans="1:21" x14ac:dyDescent="0.5">
      <c r="A13" s="1" t="s">
        <v>9</v>
      </c>
      <c r="B13" s="1" t="s">
        <v>11</v>
      </c>
      <c r="C13" s="1">
        <v>4</v>
      </c>
      <c r="D13" s="1">
        <v>4</v>
      </c>
      <c r="E13" s="1">
        <v>8</v>
      </c>
      <c r="F13" s="1">
        <v>18</v>
      </c>
      <c r="J13" s="29" t="s">
        <v>74</v>
      </c>
      <c r="K13" s="9">
        <v>4.5</v>
      </c>
      <c r="L13" s="8">
        <v>2</v>
      </c>
      <c r="M13" s="1">
        <v>5</v>
      </c>
      <c r="N13" s="9">
        <v>13.5</v>
      </c>
      <c r="P13" s="1" t="s">
        <v>52</v>
      </c>
      <c r="Q13" s="1">
        <f>Militar!B25+Militar!D25+Militar!H25+Militar!J25</f>
        <v>62</v>
      </c>
    </row>
    <row r="14" spans="1:21" x14ac:dyDescent="0.5">
      <c r="B14" s="1" t="s">
        <v>23</v>
      </c>
      <c r="C14" s="1">
        <v>4</v>
      </c>
      <c r="D14" s="1">
        <v>4</v>
      </c>
      <c r="E14" s="1">
        <v>7</v>
      </c>
      <c r="F14" s="1">
        <v>16</v>
      </c>
      <c r="J14" s="29" t="s">
        <v>71</v>
      </c>
      <c r="K14" s="9">
        <v>8</v>
      </c>
      <c r="L14" s="8">
        <v>3</v>
      </c>
      <c r="M14" s="1">
        <v>10</v>
      </c>
      <c r="N14" s="9">
        <v>3.5</v>
      </c>
      <c r="P14" s="4">
        <v>1.5</v>
      </c>
      <c r="Q14" s="1">
        <f>Q12*1.5</f>
        <v>58.5</v>
      </c>
    </row>
    <row r="15" spans="1:21" x14ac:dyDescent="0.5">
      <c r="B15" s="1" t="s">
        <v>24</v>
      </c>
      <c r="C15" s="1">
        <v>3</v>
      </c>
      <c r="D15" s="1">
        <v>3</v>
      </c>
      <c r="E15" s="1">
        <v>6</v>
      </c>
      <c r="F15" s="1">
        <v>14</v>
      </c>
      <c r="J15" s="29" t="s">
        <v>69</v>
      </c>
      <c r="K15" s="9">
        <v>7.5</v>
      </c>
      <c r="L15" s="8">
        <v>2.75</v>
      </c>
      <c r="M15" s="1">
        <v>10</v>
      </c>
      <c r="N15" s="9">
        <v>5</v>
      </c>
      <c r="P15" s="1" t="s">
        <v>53</v>
      </c>
      <c r="Q15" s="1">
        <f>IF(Militar!B29="Yes",5,0)</f>
        <v>0</v>
      </c>
    </row>
    <row r="16" spans="1:21" x14ac:dyDescent="0.5">
      <c r="B16" s="1" t="s">
        <v>25</v>
      </c>
      <c r="C16" s="1">
        <v>3</v>
      </c>
      <c r="D16" s="1">
        <v>3</v>
      </c>
      <c r="E16" s="1">
        <v>6</v>
      </c>
      <c r="F16" s="1">
        <v>12</v>
      </c>
      <c r="J16" s="29" t="s">
        <v>47</v>
      </c>
      <c r="K16" s="9">
        <v>6</v>
      </c>
      <c r="L16" s="8">
        <v>2.5</v>
      </c>
      <c r="M16" s="1">
        <v>7</v>
      </c>
      <c r="N16" s="9">
        <v>8</v>
      </c>
      <c r="P16" s="25" t="s">
        <v>54</v>
      </c>
      <c r="Q16" s="25">
        <f>IF(Q13&gt;Q14,5,0)</f>
        <v>5</v>
      </c>
      <c r="R16" s="25">
        <f>IF(Q13&lt;Q12,-5,0)</f>
        <v>0</v>
      </c>
      <c r="S16" s="25">
        <f>IF(Q13&gt;(Q12*2),5,0)</f>
        <v>0</v>
      </c>
    </row>
    <row r="17" spans="2:19" x14ac:dyDescent="0.5">
      <c r="B17" s="1" t="s">
        <v>26</v>
      </c>
      <c r="C17" s="1">
        <v>3</v>
      </c>
      <c r="D17" s="1">
        <v>3</v>
      </c>
      <c r="E17" s="1">
        <v>6</v>
      </c>
      <c r="F17" s="1">
        <v>12</v>
      </c>
      <c r="J17" s="29" t="s">
        <v>72</v>
      </c>
      <c r="K17" s="9">
        <v>5.5</v>
      </c>
      <c r="L17" s="8">
        <v>2.25</v>
      </c>
      <c r="M17" s="1">
        <v>6</v>
      </c>
      <c r="N17" s="9">
        <v>9.5</v>
      </c>
      <c r="P17" s="25" t="s">
        <v>55</v>
      </c>
      <c r="Q17" s="25">
        <f>10+Q15+Q16+R16</f>
        <v>15</v>
      </c>
      <c r="R17" s="25"/>
      <c r="S17" s="25"/>
    </row>
    <row r="18" spans="2:19" x14ac:dyDescent="0.5">
      <c r="B18" s="1" t="s">
        <v>27</v>
      </c>
      <c r="C18" s="1">
        <v>3</v>
      </c>
      <c r="D18" s="1">
        <v>3</v>
      </c>
      <c r="E18" s="1">
        <v>6</v>
      </c>
      <c r="F18" s="1">
        <v>12</v>
      </c>
      <c r="J18" s="29" t="s">
        <v>70</v>
      </c>
      <c r="K18" s="9">
        <v>7</v>
      </c>
      <c r="L18" s="8">
        <v>2.75</v>
      </c>
      <c r="M18" s="1">
        <v>9</v>
      </c>
      <c r="N18" s="9">
        <v>6.5</v>
      </c>
      <c r="P18" s="25" t="s">
        <v>56</v>
      </c>
      <c r="Q18" s="25">
        <f>10+Q15+R16+S16</f>
        <v>10</v>
      </c>
      <c r="R18" s="25"/>
      <c r="S18" s="25"/>
    </row>
    <row r="19" spans="2:19" x14ac:dyDescent="0.5">
      <c r="J19" s="29" t="s">
        <v>73</v>
      </c>
      <c r="K19" s="9">
        <v>5</v>
      </c>
      <c r="L19" s="8">
        <v>2.25</v>
      </c>
      <c r="M19" s="1">
        <v>5</v>
      </c>
      <c r="N19" s="9">
        <v>11.5</v>
      </c>
    </row>
    <row r="21" spans="2:19" x14ac:dyDescent="0.5">
      <c r="B21" s="5" t="s">
        <v>34</v>
      </c>
    </row>
    <row r="22" spans="2:19" x14ac:dyDescent="0.5">
      <c r="B22" s="1" t="s">
        <v>28</v>
      </c>
      <c r="C22" s="1" t="s">
        <v>35</v>
      </c>
      <c r="D22" s="1" t="s">
        <v>36</v>
      </c>
      <c r="E22" s="1" t="s">
        <v>37</v>
      </c>
      <c r="F22" s="1" t="s">
        <v>38</v>
      </c>
      <c r="G22" s="1" t="s">
        <v>39</v>
      </c>
      <c r="J22" s="1" t="s">
        <v>71</v>
      </c>
      <c r="M22" s="1" t="s">
        <v>57</v>
      </c>
    </row>
    <row r="23" spans="2:19" x14ac:dyDescent="0.5">
      <c r="B23" s="1" t="s">
        <v>11</v>
      </c>
      <c r="C23" s="1">
        <v>3</v>
      </c>
      <c r="D23" s="1">
        <v>3</v>
      </c>
      <c r="E23" s="1">
        <v>6</v>
      </c>
      <c r="F23" s="1">
        <v>6</v>
      </c>
      <c r="G23" s="1">
        <v>10</v>
      </c>
      <c r="J23" s="29" t="s">
        <v>69</v>
      </c>
      <c r="M23" s="6"/>
    </row>
    <row r="24" spans="2:19" x14ac:dyDescent="0.5">
      <c r="B24" s="1" t="s">
        <v>23</v>
      </c>
      <c r="C24" s="1">
        <v>3</v>
      </c>
      <c r="D24" s="1">
        <v>3</v>
      </c>
      <c r="E24" s="1">
        <v>5</v>
      </c>
      <c r="F24" s="1">
        <v>5</v>
      </c>
      <c r="G24" s="1">
        <v>8</v>
      </c>
      <c r="J24" s="29" t="s">
        <v>70</v>
      </c>
      <c r="M24" s="1" t="str">
        <f>Econ!A71</f>
        <v>Industria</v>
      </c>
      <c r="O24" s="4">
        <f>Econ!C71+Econ!E71</f>
        <v>0.66</v>
      </c>
      <c r="P24" s="4">
        <f>IF(Econ!F71&lt;1,1,((O24-1)/Econ!E71))</f>
        <v>-1.0303030303030301</v>
      </c>
      <c r="Q24" s="4">
        <f>1-P24</f>
        <v>2.0303030303030303</v>
      </c>
    </row>
    <row r="25" spans="2:19" x14ac:dyDescent="0.5">
      <c r="B25" s="1" t="s">
        <v>24</v>
      </c>
      <c r="C25" s="1">
        <v>2</v>
      </c>
      <c r="D25" s="1">
        <v>2</v>
      </c>
      <c r="E25" s="1">
        <v>4</v>
      </c>
      <c r="F25" s="1">
        <v>4</v>
      </c>
      <c r="G25" s="1">
        <v>7</v>
      </c>
      <c r="J25" s="1" t="s">
        <v>47</v>
      </c>
      <c r="M25" s="6" t="str">
        <f>Econ!A72</f>
        <v>Comida</v>
      </c>
      <c r="O25" s="4">
        <f>Econ!C72+Econ!E72</f>
        <v>0.33</v>
      </c>
      <c r="P25" s="4">
        <f>IF(Econ!F72&lt;1,1,((O25-1)/Econ!E72))</f>
        <v>-2.0303030303030298</v>
      </c>
      <c r="Q25" s="4">
        <f t="shared" ref="Q25:Q28" si="4">1-P25</f>
        <v>3.0303030303030298</v>
      </c>
    </row>
    <row r="26" spans="2:19" x14ac:dyDescent="0.5">
      <c r="B26" s="1" t="s">
        <v>25</v>
      </c>
      <c r="C26" s="1">
        <v>2</v>
      </c>
      <c r="D26" s="1">
        <v>2</v>
      </c>
      <c r="E26" s="1">
        <v>4</v>
      </c>
      <c r="F26" s="1">
        <v>4</v>
      </c>
      <c r="G26" s="1">
        <v>6</v>
      </c>
      <c r="J26" s="1" t="s">
        <v>72</v>
      </c>
      <c r="M26" s="6" t="e">
        <f>Econ!#REF!</f>
        <v>#REF!</v>
      </c>
      <c r="O26" s="4" t="e">
        <f>Econ!#REF!+Econ!#REF!</f>
        <v>#REF!</v>
      </c>
      <c r="P26" s="4" t="e">
        <f>IF(Econ!#REF!&lt;1,1,((O26-1)/Econ!#REF!))</f>
        <v>#REF!</v>
      </c>
      <c r="Q26" s="4" t="e">
        <f t="shared" si="4"/>
        <v>#REF!</v>
      </c>
    </row>
    <row r="27" spans="2:19" x14ac:dyDescent="0.5">
      <c r="B27" s="1" t="s">
        <v>26</v>
      </c>
      <c r="C27" s="1">
        <v>2</v>
      </c>
      <c r="D27" s="1">
        <v>2</v>
      </c>
      <c r="E27" s="1">
        <v>4</v>
      </c>
      <c r="F27" s="1">
        <v>4</v>
      </c>
      <c r="G27" s="1">
        <v>6</v>
      </c>
      <c r="J27" s="1" t="s">
        <v>73</v>
      </c>
      <c r="M27" s="6" t="e">
        <f>Econ!#REF!</f>
        <v>#REF!</v>
      </c>
      <c r="O27" s="4" t="e">
        <f>Econ!#REF!+Econ!#REF!</f>
        <v>#REF!</v>
      </c>
      <c r="P27" s="4" t="e">
        <f>IF(Econ!#REF!&lt;1,1,((O27-1)/Econ!#REF!))</f>
        <v>#REF!</v>
      </c>
      <c r="Q27" s="4" t="e">
        <f t="shared" si="4"/>
        <v>#REF!</v>
      </c>
    </row>
    <row r="28" spans="2:19" x14ac:dyDescent="0.5">
      <c r="B28" s="1" t="s">
        <v>27</v>
      </c>
      <c r="C28" s="1">
        <v>2</v>
      </c>
      <c r="D28" s="1">
        <v>2</v>
      </c>
      <c r="E28" s="1">
        <v>4</v>
      </c>
      <c r="F28" s="1">
        <v>4</v>
      </c>
      <c r="G28" s="1">
        <v>6</v>
      </c>
      <c r="J28" s="1" t="s">
        <v>74</v>
      </c>
      <c r="M28" s="12" t="e">
        <f>Econ!#REF!</f>
        <v>#REF!</v>
      </c>
      <c r="O28" s="4" t="e">
        <f>Econ!#REF!+Econ!#REF!</f>
        <v>#REF!</v>
      </c>
      <c r="P28" s="4" t="e">
        <f>IF(Econ!#REF!&lt;1,1,((O28-1)/Econ!#REF!))</f>
        <v>#REF!</v>
      </c>
      <c r="Q28" s="4" t="e">
        <f t="shared" si="4"/>
        <v>#REF!</v>
      </c>
    </row>
    <row r="29" spans="2:19" x14ac:dyDescent="0.5">
      <c r="M29" s="6" t="s">
        <v>9</v>
      </c>
    </row>
    <row r="30" spans="2:19" x14ac:dyDescent="0.5">
      <c r="B30" s="1" t="s">
        <v>42</v>
      </c>
    </row>
    <row r="31" spans="2:19" x14ac:dyDescent="0.5">
      <c r="C31" s="1" t="s">
        <v>40</v>
      </c>
      <c r="D31" s="1" t="s">
        <v>41</v>
      </c>
      <c r="E31" s="1" t="s">
        <v>11</v>
      </c>
      <c r="F31" s="1" t="s">
        <v>23</v>
      </c>
      <c r="G31" s="1" t="s">
        <v>24</v>
      </c>
      <c r="H31" s="1" t="s">
        <v>25</v>
      </c>
      <c r="I31" s="1" t="s">
        <v>26</v>
      </c>
      <c r="J31" s="1" t="s">
        <v>27</v>
      </c>
      <c r="M31" s="1" t="s">
        <v>11</v>
      </c>
      <c r="N31" s="4">
        <v>0.15</v>
      </c>
      <c r="Q31" s="1" t="s">
        <v>13</v>
      </c>
    </row>
    <row r="32" spans="2:19" x14ac:dyDescent="0.5">
      <c r="B32" s="1" t="s">
        <v>171</v>
      </c>
      <c r="C32" s="1">
        <v>4</v>
      </c>
      <c r="D32" s="1">
        <v>4</v>
      </c>
      <c r="E32" s="1">
        <v>10</v>
      </c>
      <c r="F32" s="1">
        <v>8</v>
      </c>
      <c r="G32" s="1">
        <v>7</v>
      </c>
      <c r="H32" s="1">
        <v>6</v>
      </c>
      <c r="I32" s="1">
        <v>6</v>
      </c>
      <c r="J32" s="1">
        <v>6</v>
      </c>
      <c r="M32" s="1" t="s">
        <v>23</v>
      </c>
      <c r="N32" s="4">
        <v>0.2</v>
      </c>
      <c r="Q32" s="1" t="s">
        <v>123</v>
      </c>
    </row>
    <row r="33" spans="2:14" x14ac:dyDescent="0.5">
      <c r="B33" s="1" t="s">
        <v>172</v>
      </c>
      <c r="C33" s="1">
        <v>2</v>
      </c>
      <c r="D33" s="1">
        <v>2</v>
      </c>
      <c r="E33" s="1">
        <v>6</v>
      </c>
      <c r="F33" s="1">
        <v>5</v>
      </c>
      <c r="G33" s="1">
        <v>4</v>
      </c>
      <c r="H33" s="1">
        <v>4</v>
      </c>
      <c r="I33" s="1">
        <v>4</v>
      </c>
      <c r="J33" s="1">
        <v>4</v>
      </c>
      <c r="M33" s="1" t="s">
        <v>24</v>
      </c>
      <c r="N33" s="4">
        <v>0.25</v>
      </c>
    </row>
    <row r="34" spans="2:14" x14ac:dyDescent="0.5">
      <c r="B34" s="1" t="s">
        <v>173</v>
      </c>
      <c r="C34" s="1">
        <v>1</v>
      </c>
      <c r="D34" s="1">
        <v>1</v>
      </c>
      <c r="E34" s="1">
        <v>3</v>
      </c>
      <c r="F34" s="1">
        <v>3</v>
      </c>
      <c r="G34" s="1">
        <v>2</v>
      </c>
      <c r="H34" s="1">
        <v>2</v>
      </c>
      <c r="I34" s="1">
        <v>2</v>
      </c>
      <c r="J34" s="1">
        <v>2</v>
      </c>
      <c r="M34" s="1" t="s">
        <v>25</v>
      </c>
      <c r="N34" s="4">
        <v>0.3</v>
      </c>
    </row>
    <row r="35" spans="2:14" x14ac:dyDescent="0.5">
      <c r="B35" s="1" t="s">
        <v>174</v>
      </c>
      <c r="C35" s="1">
        <v>1</v>
      </c>
      <c r="D35" s="1">
        <v>1</v>
      </c>
      <c r="E35" s="1">
        <v>3</v>
      </c>
      <c r="F35" s="1">
        <v>3</v>
      </c>
      <c r="G35" s="1">
        <v>2</v>
      </c>
      <c r="H35" s="1">
        <v>2</v>
      </c>
      <c r="I35" s="1">
        <v>2</v>
      </c>
      <c r="J35" s="1">
        <v>2</v>
      </c>
      <c r="M35" s="1" t="s">
        <v>26</v>
      </c>
      <c r="N35" s="4">
        <v>0.35</v>
      </c>
    </row>
    <row r="36" spans="2:14" x14ac:dyDescent="0.5">
      <c r="B36" s="1" t="s">
        <v>175</v>
      </c>
      <c r="C36" s="1">
        <v>2</v>
      </c>
      <c r="D36" s="1">
        <v>2</v>
      </c>
      <c r="E36" s="1">
        <v>6</v>
      </c>
      <c r="F36" s="1">
        <v>5</v>
      </c>
      <c r="G36" s="1">
        <v>4</v>
      </c>
      <c r="H36" s="1">
        <v>4</v>
      </c>
      <c r="I36" s="1">
        <v>4</v>
      </c>
      <c r="J36" s="1">
        <v>4</v>
      </c>
      <c r="M36" s="1" t="s">
        <v>27</v>
      </c>
      <c r="N36" s="4">
        <v>0.4</v>
      </c>
    </row>
    <row r="37" spans="2:14" x14ac:dyDescent="0.5">
      <c r="B37" s="1" t="s">
        <v>176</v>
      </c>
      <c r="C37" s="1">
        <v>2</v>
      </c>
      <c r="D37" s="1">
        <v>2</v>
      </c>
      <c r="E37" s="1">
        <v>4</v>
      </c>
      <c r="F37" s="1">
        <v>4</v>
      </c>
      <c r="G37" s="1">
        <v>4</v>
      </c>
      <c r="H37" s="1">
        <v>4</v>
      </c>
      <c r="I37" s="1">
        <v>4</v>
      </c>
      <c r="J37" s="1">
        <v>4</v>
      </c>
    </row>
    <row r="39" spans="2:14" x14ac:dyDescent="0.5">
      <c r="D39" s="1" t="s">
        <v>43</v>
      </c>
    </row>
    <row r="40" spans="2:14" x14ac:dyDescent="0.5">
      <c r="B40" s="1" t="s">
        <v>11</v>
      </c>
      <c r="C40" s="1">
        <v>4</v>
      </c>
      <c r="D40" s="1">
        <v>1</v>
      </c>
      <c r="E40" s="1" t="e">
        <f>VLOOKUP(Econ!E144,ShipQlookup,2)</f>
        <v>#N/A</v>
      </c>
    </row>
    <row r="41" spans="2:14" x14ac:dyDescent="0.5">
      <c r="B41" s="1" t="s">
        <v>23</v>
      </c>
      <c r="C41" s="1">
        <v>5</v>
      </c>
      <c r="D41" s="1">
        <v>2</v>
      </c>
      <c r="E41" s="1" t="e">
        <f>VLOOKUP(Econ!E145,ShipQlookup,2)</f>
        <v>#N/A</v>
      </c>
    </row>
    <row r="42" spans="2:14" x14ac:dyDescent="0.5">
      <c r="B42" s="1" t="s">
        <v>24</v>
      </c>
      <c r="C42" s="1">
        <v>6</v>
      </c>
      <c r="D42" s="1">
        <v>3</v>
      </c>
      <c r="E42" s="1" t="e">
        <f>VLOOKUP(Econ!E145,ShipQlookup,2)</f>
        <v>#N/A</v>
      </c>
    </row>
    <row r="43" spans="2:14" x14ac:dyDescent="0.5">
      <c r="B43" s="1" t="s">
        <v>25</v>
      </c>
      <c r="C43" s="1">
        <v>7</v>
      </c>
      <c r="D43" s="1">
        <v>4</v>
      </c>
      <c r="E43" s="1" t="e">
        <f>VLOOKUP(Econ!E146,ShipQlookup,2)</f>
        <v>#N/A</v>
      </c>
    </row>
    <row r="44" spans="2:14" x14ac:dyDescent="0.5">
      <c r="B44" s="1" t="s">
        <v>26</v>
      </c>
      <c r="C44" s="1">
        <v>8</v>
      </c>
      <c r="D44" s="1">
        <v>5</v>
      </c>
      <c r="E44" s="1" t="e">
        <f>VLOOKUP(Econ!E147,ShipQlookup,2)</f>
        <v>#N/A</v>
      </c>
    </row>
    <row r="45" spans="2:14" x14ac:dyDescent="0.5">
      <c r="B45" s="1" t="s">
        <v>27</v>
      </c>
      <c r="C45" s="1">
        <v>9</v>
      </c>
      <c r="D45" s="1">
        <v>6</v>
      </c>
      <c r="E45" s="1" t="e">
        <f>VLOOKUP(Econ!E148,ShipQlookup,2)</f>
        <v>#N/A</v>
      </c>
    </row>
    <row r="46" spans="2:14" x14ac:dyDescent="0.5">
      <c r="D46" s="1">
        <v>7</v>
      </c>
      <c r="E46" s="1" t="e">
        <f>VLOOKUP(Econ!E149,ShipQlookup,2)</f>
        <v>#N/A</v>
      </c>
    </row>
  </sheetData>
  <sortState xmlns:xlrd2="http://schemas.microsoft.com/office/spreadsheetml/2017/richdata2" ref="J13:N19">
    <sortCondition ref="J13:J19"/>
  </sortState>
  <mergeCells count="4">
    <mergeCell ref="I1:I2"/>
    <mergeCell ref="Q1:Q2"/>
    <mergeCell ref="P1:P2"/>
    <mergeCell ref="J11:N1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Econ</vt:lpstr>
      <vt:lpstr>Militar</vt:lpstr>
      <vt:lpstr>Colonias</vt:lpstr>
      <vt:lpstr>Ferrocarriles</vt:lpstr>
      <vt:lpstr>Data</vt:lpstr>
      <vt:lpstr>Bond_rating</vt:lpstr>
      <vt:lpstr>Econ_chart</vt:lpstr>
      <vt:lpstr>Econ_level</vt:lpstr>
      <vt:lpstr>Invest_option</vt:lpstr>
      <vt:lpstr>Land_Builds</vt:lpstr>
      <vt:lpstr>Mil_Buildings</vt:lpstr>
      <vt:lpstr>MilitaryB_cost</vt:lpstr>
      <vt:lpstr>Naval_builds</vt:lpstr>
      <vt:lpstr>Ship_size</vt:lpstr>
      <vt:lpstr>Ship_types</vt:lpstr>
      <vt:lpstr>ShipQlookup</vt:lpstr>
      <vt:lpstr>Weapon_Quality</vt:lpstr>
      <vt:lpstr>Yes_No</vt:lpstr>
    </vt:vector>
  </TitlesOfParts>
  <Company>Novartis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Cody, Glen (Ext)</dc:creator>
  <cp:lastModifiedBy>Néstor Seguí Martínez</cp:lastModifiedBy>
  <dcterms:created xsi:type="dcterms:W3CDTF">2017-05-12T13:11:48Z</dcterms:created>
  <dcterms:modified xsi:type="dcterms:W3CDTF">2021-03-06T04:58:50Z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1c2c7f19-dca1-43a0-9ebe-eae97200b718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MSIP_Label_f42aa342-8706-4288-bd11-ebb85995028c_Enabled">
    <vt:lpwstr>true</vt:lpwstr>
  </property>
  <property fmtid="{D5CDD505-2E9C-101B-9397-08002B2CF9AE}" pid="6" name="MSIP_Label_f42aa342-8706-4288-bd11-ebb85995028c_SetDate">
    <vt:lpwstr>2020-07-12T10:31:42Z</vt:lpwstr>
  </property>
  <property fmtid="{D5CDD505-2E9C-101B-9397-08002B2CF9AE}" pid="7" name="MSIP_Label_f42aa342-8706-4288-bd11-ebb85995028c_Method">
    <vt:lpwstr>Standard</vt:lpwstr>
  </property>
  <property fmtid="{D5CDD505-2E9C-101B-9397-08002B2CF9AE}" pid="8" name="MSIP_Label_f42aa342-8706-4288-bd11-ebb85995028c_Name">
    <vt:lpwstr>Internal</vt:lpwstr>
  </property>
  <property fmtid="{D5CDD505-2E9C-101B-9397-08002B2CF9AE}" pid="9" name="MSIP_Label_f42aa342-8706-4288-bd11-ebb85995028c_SiteId">
    <vt:lpwstr>72f988bf-86f1-41af-91ab-2d7cd011db47</vt:lpwstr>
  </property>
  <property fmtid="{D5CDD505-2E9C-101B-9397-08002B2CF9AE}" pid="10" name="MSIP_Label_f42aa342-8706-4288-bd11-ebb85995028c_ActionId">
    <vt:lpwstr>192b51a1-ae0d-4d6b-a121-f3b522b3f5a6</vt:lpwstr>
  </property>
  <property fmtid="{D5CDD505-2E9C-101B-9397-08002B2CF9AE}" pid="11" name="MSIP_Label_f42aa342-8706-4288-bd11-ebb85995028c_ContentBits">
    <vt:lpwstr>0</vt:lpwstr>
  </property>
</Properties>
</file>