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3\Inicio\"/>
    </mc:Choice>
  </mc:AlternateContent>
  <xr:revisionPtr revIDLastSave="0" documentId="13_ncr:1_{3E3647B2-969F-4BDC-9076-71C0C2C81234}" xr6:coauthVersionLast="45" xr6:coauthVersionMax="45" xr10:uidLastSave="{00000000-0000-0000-0000-000000000000}"/>
  <bookViews>
    <workbookView xWindow="5865" yWindow="-16320" windowWidth="29040" windowHeight="15840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1" l="1"/>
  <c r="B94" i="1"/>
  <c r="H88" i="1" l="1"/>
  <c r="H89" i="1"/>
  <c r="C88" i="1"/>
  <c r="C89" i="1"/>
  <c r="B88" i="1"/>
  <c r="B89" i="1"/>
  <c r="B37" i="4" l="1"/>
  <c r="B46" i="4" l="1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39" i="4"/>
  <c r="C85" i="1" s="1"/>
  <c r="B40" i="4"/>
  <c r="B41" i="4"/>
  <c r="B42" i="4"/>
  <c r="B43" i="4"/>
  <c r="B44" i="4"/>
  <c r="B45" i="4"/>
  <c r="B38" i="4"/>
  <c r="H86" i="1" s="1"/>
  <c r="B87" i="1" l="1"/>
  <c r="B85" i="1"/>
  <c r="C86" i="1"/>
  <c r="B86" i="1"/>
  <c r="H85" i="1"/>
  <c r="H87" i="1"/>
  <c r="C87" i="1"/>
  <c r="B25" i="3"/>
  <c r="G202" i="1"/>
  <c r="C95" i="1"/>
  <c r="C96" i="1"/>
  <c r="C93" i="1"/>
  <c r="B95" i="1"/>
  <c r="B96" i="1"/>
  <c r="B93" i="1"/>
  <c r="E82" i="1"/>
  <c r="G82" i="1" s="1"/>
  <c r="E83" i="1"/>
  <c r="G83" i="1" s="1"/>
  <c r="F82" i="1" l="1"/>
  <c r="F83" i="1"/>
  <c r="E94" i="1"/>
  <c r="E95" i="1"/>
  <c r="E96" i="1"/>
  <c r="E93" i="1"/>
  <c r="E86" i="1" l="1"/>
  <c r="F86" i="1" s="1"/>
  <c r="E87" i="1"/>
  <c r="F87" i="1" s="1"/>
  <c r="E88" i="1"/>
  <c r="G88" i="1" s="1"/>
  <c r="E89" i="1"/>
  <c r="G89" i="1" s="1"/>
  <c r="E85" i="1"/>
  <c r="F85" i="1" s="1"/>
  <c r="K7" i="4"/>
  <c r="L7" i="4"/>
  <c r="M7" i="4"/>
  <c r="N7" i="4"/>
  <c r="O7" i="4"/>
  <c r="P7" i="4"/>
  <c r="D7" i="4"/>
  <c r="E7" i="4"/>
  <c r="F7" i="4"/>
  <c r="G7" i="4"/>
  <c r="H7" i="4"/>
  <c r="I7" i="4"/>
  <c r="C7" i="4"/>
  <c r="G86" i="1" l="1"/>
  <c r="G87" i="1"/>
  <c r="F89" i="1"/>
  <c r="F88" i="1"/>
  <c r="G85" i="1"/>
  <c r="C88" i="3"/>
  <c r="C173" i="1" l="1"/>
  <c r="C174" i="1"/>
  <c r="C175" i="1"/>
  <c r="C172" i="1"/>
  <c r="C154" i="1" l="1"/>
  <c r="C155" i="1"/>
  <c r="C156" i="1"/>
  <c r="C157" i="1"/>
  <c r="C158" i="1"/>
  <c r="C153" i="1"/>
  <c r="B158" i="1"/>
  <c r="B157" i="1"/>
  <c r="B156" i="1"/>
  <c r="B155" i="1"/>
  <c r="B154" i="1"/>
  <c r="B153" i="1"/>
  <c r="F112" i="1"/>
  <c r="F113" i="1"/>
  <c r="F114" i="1"/>
  <c r="F115" i="1"/>
  <c r="F116" i="1"/>
  <c r="F117" i="1"/>
  <c r="F118" i="1"/>
  <c r="F119" i="1"/>
  <c r="F111" i="1"/>
  <c r="E112" i="1"/>
  <c r="E113" i="1"/>
  <c r="E114" i="1"/>
  <c r="E115" i="1"/>
  <c r="E116" i="1"/>
  <c r="E117" i="1"/>
  <c r="E118" i="1"/>
  <c r="E119" i="1"/>
  <c r="E111" i="1"/>
  <c r="F94" i="1" l="1"/>
  <c r="F95" i="1"/>
  <c r="F96" i="1"/>
  <c r="F93" i="1"/>
  <c r="E84" i="1" l="1"/>
  <c r="F84" i="1" s="1"/>
  <c r="E81" i="1"/>
  <c r="F81" i="1" s="1"/>
  <c r="G65" i="1"/>
  <c r="F65" i="1"/>
  <c r="E65" i="1"/>
  <c r="D65" i="1"/>
  <c r="C65" i="1"/>
  <c r="B65" i="1"/>
  <c r="B31" i="1"/>
  <c r="E24" i="1"/>
  <c r="C24" i="1"/>
  <c r="B24" i="1"/>
  <c r="G84" i="1" l="1"/>
  <c r="G81" i="1"/>
  <c r="G90" i="1" l="1"/>
  <c r="F154" i="1"/>
  <c r="D32" i="1" l="1"/>
  <c r="D34" i="1" s="1"/>
  <c r="F34" i="1"/>
  <c r="F105" i="1" l="1"/>
  <c r="F104" i="1"/>
  <c r="F103" i="1"/>
  <c r="F102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54" i="1" s="1"/>
  <c r="D1" i="5" l="1"/>
  <c r="B9" i="1" s="1"/>
  <c r="K138" i="1" l="1"/>
  <c r="K137" i="1"/>
  <c r="K136" i="1"/>
  <c r="F156" i="1" l="1"/>
  <c r="F155" i="1"/>
  <c r="F153" i="1"/>
  <c r="F157" i="1" l="1"/>
  <c r="F158" i="1"/>
  <c r="B33" i="1" l="1"/>
  <c r="D70" i="1" l="1"/>
  <c r="O63" i="1" l="1"/>
  <c r="N63" i="1"/>
  <c r="M63" i="1"/>
  <c r="L63" i="1"/>
  <c r="K63" i="1"/>
  <c r="J63" i="1"/>
  <c r="G63" i="1"/>
  <c r="F63" i="1"/>
  <c r="E63" i="1"/>
  <c r="D63" i="1"/>
  <c r="C63" i="1"/>
  <c r="B63" i="1"/>
  <c r="C25" i="1"/>
  <c r="B25" i="1"/>
  <c r="C66" i="1" l="1"/>
  <c r="B66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18" i="1"/>
  <c r="D23" i="1"/>
  <c r="D25" i="1" s="1"/>
  <c r="D66" i="1" s="1"/>
  <c r="E23" i="1"/>
  <c r="E25" i="1" s="1"/>
  <c r="E66" i="1" s="1"/>
  <c r="F23" i="1"/>
  <c r="F25" i="1" s="1"/>
  <c r="F66" i="1" s="1"/>
  <c r="G23" i="1"/>
  <c r="G25" i="1" s="1"/>
  <c r="G66" i="1" s="1"/>
  <c r="C23" i="1"/>
  <c r="B59" i="3"/>
  <c r="D59" i="3"/>
  <c r="L59" i="3"/>
  <c r="H59" i="3"/>
  <c r="J59" i="3"/>
  <c r="F59" i="3"/>
  <c r="C78" i="3"/>
  <c r="C94" i="3"/>
  <c r="C98" i="3"/>
  <c r="I8" i="1"/>
  <c r="H73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53" i="1" s="1"/>
  <c r="E42" i="2"/>
  <c r="G155" i="1" s="1"/>
  <c r="E43" i="2"/>
  <c r="G156" i="1" s="1"/>
  <c r="E44" i="2"/>
  <c r="G157" i="1" s="1"/>
  <c r="E45" i="2"/>
  <c r="G158" i="1" s="1"/>
  <c r="E46" i="2"/>
  <c r="H36" i="3"/>
  <c r="H71" i="3"/>
  <c r="I72" i="1"/>
  <c r="G72" i="1"/>
  <c r="F72" i="1"/>
  <c r="F25" i="3"/>
  <c r="G71" i="1"/>
  <c r="F71" i="1"/>
  <c r="B23" i="1"/>
  <c r="N29" i="1"/>
  <c r="M29" i="1"/>
  <c r="L29" i="1"/>
  <c r="K29" i="1"/>
  <c r="O24" i="2"/>
  <c r="B149" i="1"/>
  <c r="O26" i="2"/>
  <c r="O28" i="2"/>
  <c r="M25" i="2"/>
  <c r="M26" i="2"/>
  <c r="M27" i="2"/>
  <c r="M28" i="2"/>
  <c r="M24" i="2"/>
  <c r="I144" i="1"/>
  <c r="I70" i="1"/>
  <c r="I71" i="1"/>
  <c r="I73" i="1"/>
  <c r="M136" i="1"/>
  <c r="M137" i="1"/>
  <c r="M138" i="1"/>
  <c r="K135" i="1"/>
  <c r="M135" i="1" s="1"/>
  <c r="B138" i="1"/>
  <c r="B137" i="1"/>
  <c r="B135" i="1"/>
  <c r="B136" i="1"/>
  <c r="B134" i="1"/>
  <c r="H61" i="1" l="1"/>
  <c r="P61" i="1"/>
  <c r="B102" i="3"/>
  <c r="O11" i="3" s="1"/>
  <c r="I9" i="1"/>
  <c r="F97" i="1"/>
  <c r="E97" i="1"/>
  <c r="E98" i="1" s="1"/>
  <c r="P62" i="1"/>
  <c r="H62" i="1"/>
  <c r="O27" i="2"/>
  <c r="B64" i="3"/>
  <c r="B65" i="3" s="1"/>
  <c r="O9" i="3" s="1"/>
  <c r="O25" i="2"/>
  <c r="P25" i="2" s="1"/>
  <c r="Q25" i="2" s="1"/>
  <c r="B74" i="1"/>
  <c r="F106" i="1"/>
  <c r="P24" i="2"/>
  <c r="Q24" i="2" s="1"/>
  <c r="N6" i="2"/>
  <c r="O6" i="2" s="1"/>
  <c r="P6" i="2" s="1"/>
  <c r="Q6" i="2" s="1"/>
  <c r="L138" i="1" s="1"/>
  <c r="P26" i="2"/>
  <c r="Q26" i="2" s="1"/>
  <c r="C176" i="1"/>
  <c r="F159" i="1"/>
  <c r="H159" i="1" s="1"/>
  <c r="F120" i="1"/>
  <c r="P28" i="2"/>
  <c r="Q28" i="2" s="1"/>
  <c r="N5" i="2"/>
  <c r="O5" i="2" s="1"/>
  <c r="P5" i="2" s="1"/>
  <c r="Q5" i="2" s="1"/>
  <c r="L137" i="1" s="1"/>
  <c r="G159" i="1"/>
  <c r="I74" i="1"/>
  <c r="F74" i="1"/>
  <c r="E74" i="1"/>
  <c r="D74" i="1"/>
  <c r="G74" i="1"/>
  <c r="N4" i="2"/>
  <c r="O4" i="2" s="1"/>
  <c r="P4" i="2" s="1"/>
  <c r="Q4" i="2" s="1"/>
  <c r="L136" i="1" s="1"/>
  <c r="N3" i="2"/>
  <c r="O3" i="2" s="1"/>
  <c r="P3" i="2" s="1"/>
  <c r="Q3" i="2" s="1"/>
  <c r="L135" i="1" s="1"/>
  <c r="C74" i="1"/>
  <c r="G28" i="3"/>
  <c r="Q13" i="2"/>
  <c r="B35" i="3"/>
  <c r="B37" i="3" s="1"/>
  <c r="P8" i="3" s="1"/>
  <c r="P63" i="1" l="1"/>
  <c r="H63" i="1"/>
  <c r="O12" i="3"/>
  <c r="B11" i="1" s="1"/>
  <c r="B66" i="3"/>
  <c r="P9" i="3" s="1"/>
  <c r="P12" i="3" s="1"/>
  <c r="B5" i="1" s="1"/>
  <c r="B8" i="1" s="1"/>
  <c r="G63" i="3"/>
  <c r="P27" i="2"/>
  <c r="Q27" i="2" s="1"/>
  <c r="B124" i="1"/>
  <c r="L139" i="1"/>
  <c r="Q16" i="2"/>
  <c r="R16" i="2"/>
  <c r="S16" i="2"/>
  <c r="B125" i="1" l="1"/>
  <c r="B129" i="1"/>
  <c r="D129" i="1" s="1"/>
  <c r="B15" i="1"/>
  <c r="H66" i="1" s="1"/>
  <c r="H74" i="1" s="1"/>
  <c r="F121" i="1" s="1"/>
  <c r="Q17" i="2"/>
  <c r="Q18" i="2"/>
  <c r="H144" i="1" l="1"/>
  <c r="E124" i="1"/>
  <c r="G204" i="1" l="1"/>
  <c r="J28" i="3" s="1"/>
  <c r="H72" i="3" s="1"/>
  <c r="D10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10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10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3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3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3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3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3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3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5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6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6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6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81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<sst xmlns="http://schemas.openxmlformats.org/spreadsheetml/2006/main" count="751" uniqueCount="352">
  <si>
    <t>Food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</si>
  <si>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</si>
  <si>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</si>
  <si>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</si>
  <si>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</si>
  <si>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</si>
  <si>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</si>
  <si>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</si>
  <si>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</si>
  <si>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</si>
  <si>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</si>
  <si>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</si>
  <si>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</si>
  <si>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</si>
  <si>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</si>
  <si>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</si>
  <si>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</si>
  <si>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</si>
  <si>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</si>
  <si>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</si>
  <si>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</si>
  <si>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</si>
  <si>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</si>
  <si>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</si>
  <si>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</si>
  <si>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</si>
  <si>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</si>
  <si>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</si>
  <si>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</si>
  <si>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</si>
  <si>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</si>
  <si>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</si>
  <si>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</si>
  <si>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</si>
  <si>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</si>
  <si>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</si>
  <si>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</si>
  <si>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</si>
  <si>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</si>
  <si>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</si>
  <si>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</si>
  <si>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</si>
  <si>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</si>
  <si>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</si>
  <si>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</si>
  <si>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</si>
  <si>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</si>
  <si>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</si>
  <si>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</si>
  <si>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</si>
  <si>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</si>
  <si>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</si>
  <si>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</si>
  <si>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</si>
  <si>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</si>
  <si>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</si>
  <si>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</si>
  <si>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</si>
  <si>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</si>
  <si>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</si>
  <si>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</si>
  <si>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</si>
  <si>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</si>
  <si>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</si>
  <si>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</si>
  <si>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</si>
  <si>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</si>
  <si>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</si>
  <si>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</si>
  <si>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</si>
  <si>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</si>
  <si>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</si>
  <si>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</si>
  <si>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</si>
  <si>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</si>
  <si>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</si>
  <si>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</si>
  <si>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</si>
  <si>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</si>
  <si>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</si>
  <si>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</si>
  <si>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</si>
  <si>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</si>
  <si>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</si>
  <si>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</si>
  <si>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</si>
  <si>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</si>
  <si>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</si>
  <si>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</si>
  <si>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</si>
  <si>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</si>
  <si>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</si>
  <si>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</si>
  <si>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</si>
  <si>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</si>
  <si>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</si>
  <si>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</si>
  <si>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</si>
  <si>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</si>
  <si>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</si>
  <si>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</si>
  <si>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</si>
  <si>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</si>
  <si>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</si>
  <si>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</si>
  <si>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</si>
  <si>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</si>
  <si>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</si>
  <si>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</si>
  <si>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</si>
  <si>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</si>
  <si>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</si>
  <si>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</si>
  <si>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</si>
  <si>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</si>
  <si>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</si>
  <si>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</si>
  <si>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</si>
  <si>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</si>
  <si>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</si>
  <si>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</si>
  <si>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</si>
  <si>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</si>
  <si>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</si>
  <si>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</si>
  <si>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</si>
  <si>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</si>
  <si>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</si>
  <si>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</si>
  <si>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</si>
  <si>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</si>
  <si>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</si>
  <si>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</si>
  <si>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</si>
  <si>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</si>
  <si>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</si>
  <si>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</si>
  <si>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</si>
  <si>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</si>
  <si>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</si>
  <si>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</si>
  <si>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</si>
  <si>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</si>
  <si>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</si>
  <si>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</si>
  <si>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</si>
  <si>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</si>
  <si>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</si>
  <si>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</si>
  <si>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</si>
  <si>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</si>
  <si>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</si>
  <si>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(AL) Armas Ligeras D</t>
  </si>
  <si>
    <t>(AM) Ametralladoras D</t>
  </si>
  <si>
    <t>(AC) Artillería de Campaña D</t>
  </si>
  <si>
    <t>(AA) Artilería de Asedio D</t>
  </si>
  <si>
    <t>(BM) Buques Menores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</si>
  <si>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</si>
  <si>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</si>
  <si>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</si>
  <si>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</si>
  <si>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</si>
  <si>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</si>
  <si>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</si>
  <si>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</si>
  <si>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</si>
  <si>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</si>
  <si>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</si>
  <si>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</si>
  <si>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</si>
  <si>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</si>
  <si>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</si>
  <si>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</si>
  <si>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</si>
  <si>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</si>
  <si>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</si>
  <si>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</si>
  <si>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</si>
  <si>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</si>
  <si>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</si>
  <si>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</si>
  <si>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</si>
  <si>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</si>
  <si>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</si>
  <si>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</si>
  <si>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</si>
  <si>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</si>
  <si>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</si>
  <si>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</si>
  <si>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</si>
  <si>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</si>
  <si>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</si>
  <si>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</si>
  <si>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</si>
  <si>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</si>
  <si>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</si>
  <si>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</si>
  <si>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</si>
  <si>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</si>
  <si>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</si>
  <si>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</si>
  <si>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</si>
  <si>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</si>
  <si>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</si>
  <si>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</si>
  <si>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</si>
  <si>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</si>
  <si>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</si>
  <si>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</si>
  <si>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</si>
  <si>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</si>
  <si>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</si>
  <si>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</si>
  <si>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</si>
  <si>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</si>
  <si>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</si>
  <si>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</si>
  <si>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</si>
  <si>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</si>
  <si>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</si>
  <si>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</si>
  <si>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</si>
  <si>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</si>
  <si>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</si>
  <si>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</si>
  <si>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</si>
  <si>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</si>
  <si>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</si>
  <si>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</si>
  <si>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</si>
  <si>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</si>
  <si>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</si>
  <si>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</si>
  <si>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</si>
  <si>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</si>
  <si>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</si>
  <si>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</si>
  <si>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</si>
  <si>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</si>
  <si>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</si>
  <si>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</si>
  <si>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</si>
  <si>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</si>
  <si>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</si>
  <si>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Gran Bretaña</t>
  </si>
  <si>
    <t>(4 millones de Irladeses)</t>
  </si>
  <si>
    <t>2 Exóticos en Nigeria, 2 en Jamaica, 1 en Kenia y otro en Malasia</t>
  </si>
  <si>
    <t>India</t>
  </si>
  <si>
    <t>Canada</t>
  </si>
  <si>
    <t>Australia y NZ</t>
  </si>
  <si>
    <t>Jamaica</t>
  </si>
  <si>
    <t>Egipto</t>
  </si>
  <si>
    <t>Nigeria</t>
  </si>
  <si>
    <t>China</t>
  </si>
  <si>
    <t>Guyana/Honduras</t>
  </si>
  <si>
    <t>Sierra Leona</t>
  </si>
  <si>
    <t>Kenia</t>
  </si>
  <si>
    <t>Somalia y Aden</t>
  </si>
  <si>
    <t>Burma</t>
  </si>
  <si>
    <t>Sarawak y Brunei</t>
  </si>
  <si>
    <t>Malasia</t>
  </si>
  <si>
    <t>Maldivas y Andaman</t>
  </si>
  <si>
    <t>Gambia</t>
  </si>
  <si>
    <t>Fiji</t>
  </si>
  <si>
    <t>Antillas Británicas</t>
  </si>
  <si>
    <t>Mat Primas 1</t>
  </si>
  <si>
    <t>Mat Primas 2</t>
  </si>
  <si>
    <t>Exótico 1</t>
  </si>
  <si>
    <t>Exótico 2</t>
  </si>
  <si>
    <t>Comida 1</t>
  </si>
  <si>
    <t>Comida 2</t>
  </si>
  <si>
    <t>Industria 1</t>
  </si>
  <si>
    <t>Industria 2</t>
  </si>
  <si>
    <t>Hierro 1</t>
  </si>
  <si>
    <t>Hierro 2</t>
  </si>
  <si>
    <t>Expansión Canada Este</t>
  </si>
  <si>
    <t>Trans Canada</t>
  </si>
  <si>
    <t>Mat Prima</t>
  </si>
  <si>
    <t>Australia</t>
  </si>
  <si>
    <t>Trans Australia</t>
  </si>
  <si>
    <t>Exótico</t>
  </si>
  <si>
    <t>Cairo-Asuan</t>
  </si>
  <si>
    <t>Ghana</t>
  </si>
  <si>
    <t>Lagos-Chad</t>
  </si>
  <si>
    <t>El Cabo</t>
  </si>
  <si>
    <t>Mombasa-Lago Victoria</t>
  </si>
  <si>
    <t>Irlanda</t>
  </si>
  <si>
    <t>Hannover</t>
  </si>
  <si>
    <t>Gibraltar</t>
  </si>
  <si>
    <t>5000 Men</t>
  </si>
  <si>
    <t>Malta</t>
  </si>
  <si>
    <t>Port Said</t>
  </si>
  <si>
    <t>Hong Kong</t>
  </si>
  <si>
    <t>Singapur</t>
  </si>
  <si>
    <t>Sobre la media</t>
  </si>
  <si>
    <t>6 sem</t>
  </si>
  <si>
    <t>Location:</t>
  </si>
  <si>
    <t>Training Efficiency</t>
  </si>
  <si>
    <t>2(E)</t>
  </si>
  <si>
    <t>New Zealand</t>
  </si>
  <si>
    <t>1(E)</t>
  </si>
  <si>
    <t>India Gurkhas</t>
  </si>
  <si>
    <t>India Reg</t>
  </si>
  <si>
    <t>6(E)</t>
  </si>
  <si>
    <t>10(F)</t>
  </si>
  <si>
    <t>Tropas Commonwealth: </t>
  </si>
  <si>
    <t>Regular</t>
  </si>
  <si>
    <t>Media</t>
  </si>
  <si>
    <t>3(E)</t>
  </si>
  <si>
    <t>5(E)</t>
  </si>
  <si>
    <t>Bajo la media</t>
  </si>
  <si>
    <t>Home Fleet</t>
  </si>
  <si>
    <t>Mediterraneo</t>
  </si>
  <si>
    <t>Indico</t>
  </si>
  <si>
    <t>Caribe</t>
  </si>
  <si>
    <t>Atlantico Sur</t>
  </si>
  <si>
    <t>Excelente</t>
  </si>
  <si>
    <t xml:space="preserve">Plymouth, London, Belfast, Liverpool, Glasgow, Newcastle, Scapa Flow, Dublin </t>
  </si>
  <si>
    <t xml:space="preserve">Atlantico Norte: St. John (Newfoundland), Halifax, Bermuda </t>
  </si>
  <si>
    <t>Caribe: Kingston, Port Spain (Trinidad y Tobago)</t>
  </si>
  <si>
    <t xml:space="preserve">Atlantico Sur: Bathurst, Freetown, Gold Coast Castle, Cape Town, St. Helena </t>
  </si>
  <si>
    <t xml:space="preserve">Mediterraneo: Gibraltar, Malta, Alejandria, Port Said, Limasol (Chipre) </t>
  </si>
  <si>
    <t xml:space="preserve">Índico: Aden, Bahrein, Karachi, Bombay, Colombo, Madras, Calcuta, Rangoon, Durban, Mombasa, Zanzibar, Mauricio, Seychelles, Fremantle (Australia) </t>
  </si>
  <si>
    <t xml:space="preserve">Pacific: Singapur, Hong Kong, Darwin, Wellington, Auckland, Sydney </t>
  </si>
  <si>
    <t xml:space="preserve">Plymouth, London, Hong Kong, Gold Coast Castle, Stanley, Freetown, Cape Town, Bermuda, Sydney, Mauritius, Belfast, Liverpool, Glasgow, Singapore, Thunder Bay, Vancouver, Kingston, St. Catherine’s Forge, Ottowa, Toronto (last 6 all in Canada) </t>
  </si>
  <si>
    <t xml:space="preserve">Colombo (Sri Lanka), Malta, Gibraltar, Aden, Sault Ste. Marie, Montreal, Quebec (los 3 últimos en Canadá) </t>
  </si>
  <si>
    <t>(Cr) Cruceros C</t>
  </si>
  <si>
    <t>Cabo-Gaborone</t>
  </si>
  <si>
    <t>Gaborone-Bulawayo</t>
  </si>
  <si>
    <t>Rumania (hasta 1893)</t>
  </si>
  <si>
    <t>Sicilia (hasta 1893)</t>
  </si>
  <si>
    <t>Suecia (hasta 1896)</t>
  </si>
  <si>
    <t>Guatemala (hasta 1893)</t>
  </si>
  <si>
    <t>Brasil (hasta 1893)</t>
  </si>
  <si>
    <t>Venezuela (hasta 1893)</t>
  </si>
  <si>
    <t>Imp Otomano (hasta 1896)</t>
  </si>
  <si>
    <t>(Ac) Acorazados C</t>
  </si>
  <si>
    <t>Home Fleet II</t>
  </si>
  <si>
    <t>Disponible a lo largo del año</t>
  </si>
  <si>
    <t>Colonia del Cabo</t>
  </si>
  <si>
    <t>Rodesia del Sur</t>
  </si>
  <si>
    <t>1 Industria en Canada, India, Australia y El Cabo.</t>
  </si>
  <si>
    <t>Expansión India II</t>
  </si>
  <si>
    <t>Expansión India I</t>
  </si>
  <si>
    <t>Peking-Hankow</t>
  </si>
  <si>
    <t>Canton-Hankow</t>
  </si>
  <si>
    <t>Peru (hasta 1896)</t>
  </si>
  <si>
    <t>Siam (1896)</t>
  </si>
  <si>
    <t>2 Astilleros por puerto en la Metrópoli</t>
  </si>
  <si>
    <t xml:space="preserve">Atlantico Norte: St. John Newfoundland - (2), Halifax, Bermuda </t>
  </si>
  <si>
    <t>Índico: Bombai y Calcuta</t>
  </si>
  <si>
    <t>Pacífico: Sidney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</si>
</sst>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_(&quot;$&quot;* #,##0_);_(&quot;$&quot;* \(#,##0\);_(&quot;$&quot;* &quot;-&quot;_);_(@_)"/>
    <numFmt numFmtId="166" formatCode="&quot;$&quot;#,##0"/>
    <numFmt numFmtId="167" formatCode="0.0"/>
    <numFmt numFmtId="168" formatCode="0_);[Red]\(0\)"/>
    <numFmt numFmtId="169" formatCode="_-* #,##0\ &quot;€&quot;_-;\-* #,##0\ &quot;€&quot;_-;_-* &quot;-&quot;??\ &quot;€&quot;_-;_-@_-"/>
  </numFmts>
  <fonts count="19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165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6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5" fontId="0" fillId="5" borderId="12" xfId="0" applyNumberFormat="1" applyFill="1" applyBorder="1"/>
    <xf numFmtId="164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9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6" fontId="2" fillId="5" borderId="4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6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8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8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8" fontId="2" fillId="0" borderId="0" xfId="0" applyNumberFormat="1" applyFont="1" applyFill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6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6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8" fontId="2" fillId="3" borderId="12" xfId="0" applyNumberFormat="1" applyFont="1" applyFill="1" applyBorder="1" applyAlignment="1" applyProtection="1">
      <alignment horizontal="center"/>
      <protection locked="0"/>
    </xf>
    <xf numFmtId="168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164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8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166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9" fontId="0" fillId="5" borderId="31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169" fontId="2" fillId="5" borderId="4" xfId="0" applyNumberFormat="1" applyFont="1" applyFill="1" applyBorder="1" applyAlignment="1">
      <alignment horizontal="left" indent="1"/>
    </xf>
    <xf numFmtId="0" fontId="2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166" fontId="2" fillId="5" borderId="4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left"/>
    </xf>
    <xf numFmtId="9" fontId="2" fillId="5" borderId="4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1" fontId="2" fillId="5" borderId="12" xfId="1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0" fontId="2" fillId="0" borderId="0" xfId="0" applyFont="1" applyFill="1" applyAlignment="1" applyProtection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42" xfId="0" applyFont="1" applyFill="1" applyBorder="1" applyAlignment="1">
      <alignment horizontal="left"/>
    </xf>
    <xf numFmtId="0" fontId="1" fillId="5" borderId="43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left"/>
    </xf>
    <xf numFmtId="0" fontId="1" fillId="5" borderId="44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" fillId="5" borderId="40" xfId="0" applyFont="1" applyFill="1" applyBorder="1" applyAlignment="1">
      <alignment horizontal="left"/>
    </xf>
    <xf numFmtId="0" fontId="1" fillId="5" borderId="4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46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Currency" xfId="1" builtinId="4"/>
    <cellStyle name="Currency 2" xfId="3" xr:uid="{F518346B-DC47-4E23-8816-DBE4D7D1B3C8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4"/>
  <sheetViews>
    <sheetView showGridLines="0" tabSelected="1" zoomScale="75" zoomScaleNormal="75" workbookViewId="0">
      <selection sqref="A1:P1"/>
    </sheetView>
  </sheetViews>
  <sheetFormatPr defaultColWidth="9.1328125" defaultRowHeight="17.649999999999999" x14ac:dyDescent="0.5"/>
  <cols>
    <col min="1" max="1" width="48.53125" style="81" customWidth="1"/>
    <col min="2" max="2" width="12.53125" style="81" customWidth="1"/>
    <col min="3" max="3" width="16.3984375" style="81" bestFit="1" customWidth="1"/>
    <col min="4" max="4" width="12.33203125" style="81" bestFit="1" customWidth="1"/>
    <col min="5" max="5" width="12" style="81" bestFit="1" customWidth="1"/>
    <col min="6" max="6" width="21.6640625" style="81" customWidth="1"/>
    <col min="7" max="7" width="11.6640625" style="81" customWidth="1"/>
    <col min="8" max="8" width="11" style="81" customWidth="1"/>
    <col min="9" max="9" width="12.86328125" style="81" customWidth="1"/>
    <col min="10" max="10" width="10.33203125" style="81" customWidth="1"/>
    <col min="11" max="11" width="12.1328125" style="81" customWidth="1"/>
    <col min="12" max="15" width="9.1328125" style="81"/>
    <col min="16" max="16" width="10.86328125" style="81" bestFit="1" customWidth="1"/>
    <col min="17" max="16384" width="9.1328125" style="81"/>
  </cols>
  <sheetData>
    <row r="1" spans="1:19" x14ac:dyDescent="0.5">
      <c r="A1" s="214" t="s">
        <v>229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9" ht="18" thickBot="1" x14ac:dyDescent="0.55000000000000004">
      <c r="A2" s="82" t="s">
        <v>6</v>
      </c>
      <c r="B2" s="82" t="s">
        <v>59</v>
      </c>
    </row>
    <row r="3" spans="1:19" ht="18" thickBot="1" x14ac:dyDescent="0.55000000000000004">
      <c r="A3" s="83" t="s">
        <v>61</v>
      </c>
      <c r="B3" s="83" t="s">
        <v>244</v>
      </c>
      <c r="G3" s="83" t="s">
        <v>76</v>
      </c>
      <c r="H3" s="83">
        <v>1893</v>
      </c>
    </row>
    <row r="4" spans="1:19" ht="18" thickBot="1" x14ac:dyDescent="0.55000000000000004">
      <c r="A4" s="83" t="s">
        <v>62</v>
      </c>
      <c r="B4" s="83">
        <v>33.729999999999997</v>
      </c>
      <c r="C4" s="84" t="s">
        <v>245</v>
      </c>
      <c r="G4" s="83" t="s">
        <v>77</v>
      </c>
      <c r="H4" s="83" t="s">
        <v>44</v>
      </c>
    </row>
    <row r="5" spans="1:19" ht="18" thickBot="1" x14ac:dyDescent="0.55000000000000004">
      <c r="A5" s="83" t="s">
        <v>63</v>
      </c>
      <c r="B5" s="85">
        <f>B4-Militar!P12</f>
        <v>27.83</v>
      </c>
    </row>
    <row r="6" spans="1:19" ht="18" thickBot="1" x14ac:dyDescent="0.55000000000000004">
      <c r="A6" s="83" t="s">
        <v>64</v>
      </c>
      <c r="B6" s="83" t="s">
        <v>69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9" ht="18" thickBot="1" x14ac:dyDescent="0.55000000000000004">
      <c r="A7" s="221" t="s">
        <v>65</v>
      </c>
      <c r="B7" s="223"/>
      <c r="E7" s="184"/>
      <c r="F7" s="184"/>
      <c r="G7" s="221" t="s">
        <v>78</v>
      </c>
      <c r="H7" s="223"/>
      <c r="I7" s="186">
        <v>0</v>
      </c>
      <c r="J7" s="187"/>
      <c r="K7" s="184"/>
      <c r="L7" s="184"/>
      <c r="M7" s="213"/>
      <c r="N7" s="184"/>
      <c r="O7" s="184"/>
      <c r="P7" s="184"/>
    </row>
    <row r="8" spans="1:19" ht="18" thickBot="1" x14ac:dyDescent="0.55000000000000004">
      <c r="A8" s="83" t="s">
        <v>72</v>
      </c>
      <c r="B8" s="86">
        <f>(VLOOKUP(B6,Econ_chart,5,FALSE))*B5</f>
        <v>264.38499999999999</v>
      </c>
      <c r="C8" s="87"/>
      <c r="G8" s="238" t="s">
        <v>79</v>
      </c>
      <c r="H8" s="238"/>
      <c r="I8" s="86">
        <f>I7*J13</f>
        <v>0</v>
      </c>
      <c r="M8" s="213"/>
      <c r="S8" s="209"/>
    </row>
    <row r="9" spans="1:19" ht="18" thickBot="1" x14ac:dyDescent="0.55000000000000004">
      <c r="A9" s="83" t="s">
        <v>73</v>
      </c>
      <c r="B9" s="86">
        <f>Colonias!C7+Ferrocarriles!D1</f>
        <v>284</v>
      </c>
      <c r="C9" s="87"/>
      <c r="H9" s="83" t="s">
        <v>2</v>
      </c>
      <c r="I9" s="86">
        <f>SUM(I7:I8)</f>
        <v>0</v>
      </c>
      <c r="J9" s="88"/>
      <c r="S9" s="209"/>
    </row>
    <row r="10" spans="1:19" ht="18" thickBot="1" x14ac:dyDescent="0.55000000000000004">
      <c r="A10" s="83" t="s">
        <v>74</v>
      </c>
      <c r="B10" s="86">
        <v>14</v>
      </c>
    </row>
    <row r="11" spans="1:19" ht="18" thickBot="1" x14ac:dyDescent="0.55000000000000004">
      <c r="A11" s="83" t="s">
        <v>75</v>
      </c>
      <c r="B11" s="86">
        <f>Militar!O12</f>
        <v>184</v>
      </c>
      <c r="J11" s="89"/>
      <c r="K11" s="239"/>
    </row>
    <row r="12" spans="1:19" ht="19.5" customHeight="1" thickBot="1" x14ac:dyDescent="0.55000000000000004">
      <c r="A12" s="89"/>
      <c r="B12" s="90"/>
      <c r="C12" s="89"/>
      <c r="D12" s="239"/>
      <c r="G12" s="235"/>
      <c r="H12" s="235"/>
      <c r="I12" s="91"/>
      <c r="J12" s="83" t="s">
        <v>81</v>
      </c>
      <c r="K12" s="239"/>
    </row>
    <row r="13" spans="1:19" ht="18" thickBot="1" x14ac:dyDescent="0.55000000000000004">
      <c r="A13" s="89"/>
      <c r="B13" s="90"/>
      <c r="C13" s="89"/>
      <c r="D13" s="239"/>
      <c r="G13" s="238" t="s">
        <v>80</v>
      </c>
      <c r="H13" s="238"/>
      <c r="I13" s="83" t="s">
        <v>8</v>
      </c>
      <c r="J13" s="92">
        <v>0.15</v>
      </c>
      <c r="K13" s="91"/>
    </row>
    <row r="14" spans="1:19" ht="18" thickBot="1" x14ac:dyDescent="0.55000000000000004">
      <c r="A14" s="89"/>
      <c r="B14" s="90"/>
      <c r="C14" s="93"/>
      <c r="D14" s="91"/>
      <c r="H14" s="89"/>
      <c r="I14" s="91"/>
    </row>
    <row r="15" spans="1:19" ht="18" thickBot="1" x14ac:dyDescent="0.55000000000000004">
      <c r="A15" s="83" t="s">
        <v>100</v>
      </c>
      <c r="B15" s="86">
        <f>B8+B9+B10-B11</f>
        <v>378.38499999999999</v>
      </c>
    </row>
    <row r="17" spans="1:17" x14ac:dyDescent="0.5">
      <c r="A17" s="81" t="s">
        <v>6</v>
      </c>
      <c r="B17" s="81" t="s">
        <v>6</v>
      </c>
    </row>
    <row r="18" spans="1:17" x14ac:dyDescent="0.5">
      <c r="A18" s="214" t="s">
        <v>231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7" ht="18" thickBot="1" x14ac:dyDescent="0.55000000000000004"/>
    <row r="20" spans="1:17" ht="18.399999999999999" thickTop="1" thickBot="1" x14ac:dyDescent="0.55000000000000004">
      <c r="A20" s="81" t="s">
        <v>6</v>
      </c>
      <c r="B20" s="83" t="s">
        <v>135</v>
      </c>
      <c r="C20" s="83" t="s">
        <v>92</v>
      </c>
      <c r="D20" s="83" t="s">
        <v>99</v>
      </c>
      <c r="E20" s="83" t="s">
        <v>93</v>
      </c>
      <c r="F20" s="83" t="s">
        <v>95</v>
      </c>
      <c r="G20" s="83" t="s">
        <v>96</v>
      </c>
      <c r="I20" s="240" t="s">
        <v>86</v>
      </c>
      <c r="J20" s="240"/>
      <c r="K20" s="240"/>
      <c r="L20" s="240"/>
      <c r="M20" s="240"/>
      <c r="N20" s="240"/>
    </row>
    <row r="21" spans="1:17" ht="18.399999999999999" thickTop="1" thickBot="1" x14ac:dyDescent="0.55000000000000004">
      <c r="A21" s="83" t="s">
        <v>82</v>
      </c>
      <c r="B21" s="83">
        <v>28</v>
      </c>
      <c r="C21" s="83">
        <v>5</v>
      </c>
      <c r="D21" s="83">
        <v>4</v>
      </c>
      <c r="E21" s="83">
        <v>0</v>
      </c>
      <c r="F21" s="83">
        <v>3</v>
      </c>
      <c r="G21" s="83">
        <v>2</v>
      </c>
      <c r="I21" s="94"/>
      <c r="J21" s="94"/>
      <c r="K21" s="240" t="s">
        <v>89</v>
      </c>
      <c r="L21" s="240"/>
      <c r="M21" s="240" t="s">
        <v>90</v>
      </c>
      <c r="N21" s="240"/>
    </row>
    <row r="22" spans="1:17" ht="18.399999999999999" thickTop="1" thickBot="1" x14ac:dyDescent="0.55000000000000004">
      <c r="A22" s="83" t="s">
        <v>83</v>
      </c>
      <c r="B22" s="83">
        <v>0</v>
      </c>
      <c r="C22" s="83">
        <v>0</v>
      </c>
      <c r="D22" s="83">
        <v>0</v>
      </c>
      <c r="E22" s="83">
        <v>6</v>
      </c>
      <c r="F22" s="83">
        <v>0</v>
      </c>
      <c r="G22" s="83">
        <v>0</v>
      </c>
      <c r="I22" s="94"/>
      <c r="J22" s="94" t="s">
        <v>56</v>
      </c>
      <c r="K22" s="94" t="s">
        <v>87</v>
      </c>
      <c r="L22" s="94" t="s">
        <v>88</v>
      </c>
      <c r="M22" s="94" t="s">
        <v>87</v>
      </c>
      <c r="N22" s="94" t="s">
        <v>88</v>
      </c>
    </row>
    <row r="23" spans="1:17" ht="18.399999999999999" thickTop="1" thickBot="1" x14ac:dyDescent="0.55000000000000004">
      <c r="A23" s="83" t="s">
        <v>84</v>
      </c>
      <c r="B23" s="83">
        <f>SUM(B21:B22)</f>
        <v>28</v>
      </c>
      <c r="C23" s="83">
        <f t="shared" ref="C23:G23" si="0">SUM(C21:C22)</f>
        <v>5</v>
      </c>
      <c r="D23" s="83">
        <f t="shared" si="0"/>
        <v>4</v>
      </c>
      <c r="E23" s="83">
        <f t="shared" si="0"/>
        <v>6</v>
      </c>
      <c r="F23" s="83">
        <f t="shared" si="0"/>
        <v>3</v>
      </c>
      <c r="G23" s="83">
        <f t="shared" si="0"/>
        <v>2</v>
      </c>
      <c r="I23" s="94" t="s">
        <v>91</v>
      </c>
      <c r="J23" s="95">
        <v>23</v>
      </c>
      <c r="K23" s="95">
        <f>J23+(J23*0.3)</f>
        <v>29.9</v>
      </c>
      <c r="L23" s="95">
        <f>J23-(J23*0.3)</f>
        <v>16.100000000000001</v>
      </c>
      <c r="M23" s="95">
        <f>J23-(J23*0.2)</f>
        <v>18.399999999999999</v>
      </c>
      <c r="N23" s="95">
        <f>J23+(J23*0.2)</f>
        <v>27.6</v>
      </c>
    </row>
    <row r="24" spans="1:17" ht="18.399999999999999" thickTop="1" thickBot="1" x14ac:dyDescent="0.55000000000000004">
      <c r="A24" s="83" t="s">
        <v>85</v>
      </c>
      <c r="B24" s="96">
        <f>B4/(VLOOKUP(B6,Econ_chart,2,FALSE))</f>
        <v>6.1327272727272719</v>
      </c>
      <c r="C24" s="96">
        <f>ROUNDUP(B4/(VLOOKUP(B6,Econ_chart,3,FALSE)),0)</f>
        <v>15</v>
      </c>
      <c r="D24" s="96">
        <v>0</v>
      </c>
      <c r="E24" s="96">
        <f>ROUNDUP(B4/(VLOOKUP(B6,Econ_chart,4,FALSE)),0)</f>
        <v>6</v>
      </c>
      <c r="F24" s="96">
        <v>0</v>
      </c>
      <c r="G24" s="96">
        <v>0</v>
      </c>
      <c r="I24" s="94" t="s">
        <v>92</v>
      </c>
      <c r="J24" s="95">
        <v>10</v>
      </c>
      <c r="K24" s="95">
        <f t="shared" ref="K24:K29" si="1">J24+(J24*0.3)</f>
        <v>13</v>
      </c>
      <c r="L24" s="95">
        <f t="shared" ref="L24:L29" si="2">J24-(J24*0.3)</f>
        <v>7</v>
      </c>
      <c r="M24" s="95">
        <f t="shared" ref="M24:M29" si="3">J24-(J24*0.2)</f>
        <v>8</v>
      </c>
      <c r="N24" s="95">
        <f t="shared" ref="N24:N29" si="4">J24+(J24*0.2)</f>
        <v>12</v>
      </c>
    </row>
    <row r="25" spans="1:17" ht="18.399999999999999" thickTop="1" thickBot="1" x14ac:dyDescent="0.55000000000000004">
      <c r="A25" s="97" t="s">
        <v>5</v>
      </c>
      <c r="B25" s="98">
        <f>-B24</f>
        <v>-6.1327272727272719</v>
      </c>
      <c r="C25" s="98">
        <f>C21-C24</f>
        <v>-10</v>
      </c>
      <c r="D25" s="99">
        <f>D23</f>
        <v>4</v>
      </c>
      <c r="E25" s="98">
        <f>E23-E24</f>
        <v>0</v>
      </c>
      <c r="F25" s="99">
        <f>F23</f>
        <v>3</v>
      </c>
      <c r="G25" s="99">
        <f>G23</f>
        <v>2</v>
      </c>
      <c r="I25" s="94" t="s">
        <v>93</v>
      </c>
      <c r="J25" s="95">
        <v>11</v>
      </c>
      <c r="K25" s="95">
        <f t="shared" si="1"/>
        <v>14.3</v>
      </c>
      <c r="L25" s="95">
        <f t="shared" si="2"/>
        <v>7.7</v>
      </c>
      <c r="M25" s="95">
        <f t="shared" si="3"/>
        <v>8.8000000000000007</v>
      </c>
      <c r="N25" s="95">
        <f t="shared" si="4"/>
        <v>13.2</v>
      </c>
    </row>
    <row r="26" spans="1:17" ht="18.399999999999999" thickTop="1" thickBot="1" x14ac:dyDescent="0.55000000000000004">
      <c r="A26" s="102" t="s">
        <v>246</v>
      </c>
      <c r="B26" s="100"/>
      <c r="C26" s="101"/>
      <c r="D26" s="101"/>
      <c r="E26" s="101"/>
      <c r="F26" s="101"/>
      <c r="G26" s="101"/>
      <c r="I26" s="94" t="s">
        <v>94</v>
      </c>
      <c r="J26" s="95">
        <v>10</v>
      </c>
      <c r="K26" s="95">
        <f t="shared" si="1"/>
        <v>13</v>
      </c>
      <c r="L26" s="95">
        <f t="shared" si="2"/>
        <v>7</v>
      </c>
      <c r="M26" s="95">
        <f t="shared" si="3"/>
        <v>8</v>
      </c>
      <c r="N26" s="95">
        <f t="shared" si="4"/>
        <v>12</v>
      </c>
    </row>
    <row r="27" spans="1:17" ht="18.399999999999999" thickTop="1" thickBot="1" x14ac:dyDescent="0.55000000000000004">
      <c r="A27" s="102" t="s">
        <v>341</v>
      </c>
      <c r="B27" s="102"/>
      <c r="C27" s="89"/>
      <c r="D27" s="89"/>
      <c r="E27" s="89"/>
      <c r="F27" s="89"/>
      <c r="G27" s="89"/>
      <c r="I27" s="94" t="s">
        <v>95</v>
      </c>
      <c r="J27" s="95">
        <v>10</v>
      </c>
      <c r="K27" s="95">
        <f t="shared" si="1"/>
        <v>13</v>
      </c>
      <c r="L27" s="95">
        <f t="shared" si="2"/>
        <v>7</v>
      </c>
      <c r="M27" s="95">
        <f t="shared" si="3"/>
        <v>8</v>
      </c>
      <c r="N27" s="95">
        <f t="shared" si="4"/>
        <v>12</v>
      </c>
    </row>
    <row r="28" spans="1:17" ht="18.399999999999999" thickTop="1" thickBot="1" x14ac:dyDescent="0.55000000000000004">
      <c r="A28" s="89"/>
      <c r="B28" s="101"/>
      <c r="C28" s="101"/>
      <c r="D28" s="101"/>
      <c r="E28" s="101"/>
      <c r="F28" s="101"/>
      <c r="G28" s="101"/>
      <c r="I28" s="94" t="s">
        <v>96</v>
      </c>
      <c r="J28" s="95">
        <v>10</v>
      </c>
      <c r="K28" s="95">
        <f t="shared" si="1"/>
        <v>13</v>
      </c>
      <c r="L28" s="95">
        <f t="shared" si="2"/>
        <v>7</v>
      </c>
      <c r="M28" s="95">
        <f t="shared" si="3"/>
        <v>8</v>
      </c>
      <c r="N28" s="95">
        <f t="shared" si="4"/>
        <v>12</v>
      </c>
    </row>
    <row r="29" spans="1:17" ht="18.399999999999999" thickTop="1" thickBot="1" x14ac:dyDescent="0.55000000000000004">
      <c r="A29" s="89"/>
      <c r="B29" s="101"/>
      <c r="C29" s="101"/>
      <c r="D29" s="101"/>
      <c r="E29" s="101"/>
      <c r="F29" s="101"/>
      <c r="G29" s="101"/>
      <c r="I29" s="94" t="s">
        <v>97</v>
      </c>
      <c r="J29" s="95">
        <v>10</v>
      </c>
      <c r="K29" s="95">
        <f t="shared" si="1"/>
        <v>13</v>
      </c>
      <c r="L29" s="95">
        <f t="shared" si="2"/>
        <v>7</v>
      </c>
      <c r="M29" s="95">
        <f t="shared" si="3"/>
        <v>8</v>
      </c>
      <c r="N29" s="95">
        <f t="shared" si="4"/>
        <v>12</v>
      </c>
      <c r="O29" s="241" t="s">
        <v>98</v>
      </c>
      <c r="P29" s="241"/>
      <c r="Q29" s="241"/>
    </row>
    <row r="30" spans="1:17" ht="18.399999999999999" thickTop="1" thickBot="1" x14ac:dyDescent="0.55000000000000004">
      <c r="L30" s="90"/>
      <c r="M30" s="90"/>
      <c r="N30" s="90"/>
    </row>
    <row r="31" spans="1:17" ht="18" thickBot="1" x14ac:dyDescent="0.55000000000000004">
      <c r="A31" s="83" t="s">
        <v>101</v>
      </c>
      <c r="B31" s="83" t="str">
        <f>Colonias!D6</f>
        <v>Bienes</v>
      </c>
      <c r="C31" s="83" t="str">
        <f>Colonias!E6</f>
        <v>Comida</v>
      </c>
      <c r="D31" s="83" t="str">
        <f>Colonias!F6</f>
        <v>Mat Primas</v>
      </c>
      <c r="E31" s="83" t="str">
        <f>Colonias!G6</f>
        <v>Exóticos</v>
      </c>
      <c r="F31" s="83" t="str">
        <f>Colonias!H6</f>
        <v>Carbón</v>
      </c>
      <c r="G31" s="83" t="str">
        <f>Colonias!I6</f>
        <v>Hierro</v>
      </c>
    </row>
    <row r="32" spans="1:17" ht="18" thickBot="1" x14ac:dyDescent="0.55000000000000004">
      <c r="A32" s="83" t="s">
        <v>102</v>
      </c>
      <c r="B32" s="83">
        <f>SUM(Colonias!D7)</f>
        <v>1</v>
      </c>
      <c r="C32" s="83">
        <f>SUM(Colonias!E7)</f>
        <v>7</v>
      </c>
      <c r="D32" s="83">
        <f>SUM(Colonias!F7)</f>
        <v>14</v>
      </c>
      <c r="E32" s="83">
        <f>SUM(Colonias!G7)</f>
        <v>7</v>
      </c>
      <c r="F32" s="83">
        <v>4</v>
      </c>
      <c r="G32" s="83">
        <f>SUM(Colonias!I7)</f>
        <v>2</v>
      </c>
    </row>
    <row r="33" spans="1:16" ht="18" thickBot="1" x14ac:dyDescent="0.55000000000000004">
      <c r="A33" s="83" t="s">
        <v>103</v>
      </c>
      <c r="B33" s="83">
        <f>Colonias!K7</f>
        <v>17</v>
      </c>
      <c r="C33" s="83">
        <f>Colonias!L7</f>
        <v>0</v>
      </c>
      <c r="D33" s="83">
        <f>Colonias!M7</f>
        <v>1</v>
      </c>
      <c r="E33" s="83">
        <f>Colonias!N7</f>
        <v>0</v>
      </c>
      <c r="F33" s="83">
        <f>Colonias!O7</f>
        <v>0</v>
      </c>
      <c r="G33" s="83">
        <f>Colonias!P7</f>
        <v>0</v>
      </c>
      <c r="H33" s="88"/>
    </row>
    <row r="34" spans="1:16" ht="18" thickBot="1" x14ac:dyDescent="0.55000000000000004">
      <c r="A34" s="83" t="s">
        <v>104</v>
      </c>
      <c r="B34" s="103">
        <f>B32-J61</f>
        <v>1</v>
      </c>
      <c r="C34" s="103">
        <f t="shared" ref="C34:G34" si="5">C32-K61</f>
        <v>7</v>
      </c>
      <c r="D34" s="103">
        <f t="shared" si="5"/>
        <v>14</v>
      </c>
      <c r="E34" s="103">
        <f t="shared" si="5"/>
        <v>7</v>
      </c>
      <c r="F34" s="103">
        <f t="shared" si="5"/>
        <v>4</v>
      </c>
      <c r="G34" s="103">
        <f t="shared" si="5"/>
        <v>2</v>
      </c>
      <c r="H34" s="88" t="s">
        <v>221</v>
      </c>
    </row>
    <row r="35" spans="1:16" ht="18" thickBot="1" x14ac:dyDescent="0.55000000000000004">
      <c r="A35" s="83" t="s">
        <v>105</v>
      </c>
      <c r="B35" s="103">
        <f>B33-B61</f>
        <v>17</v>
      </c>
      <c r="C35" s="103">
        <f t="shared" ref="C35:G35" si="6">C33-C61</f>
        <v>0</v>
      </c>
      <c r="D35" s="103">
        <f t="shared" si="6"/>
        <v>1</v>
      </c>
      <c r="E35" s="103">
        <f t="shared" si="6"/>
        <v>0</v>
      </c>
      <c r="F35" s="103">
        <f t="shared" si="6"/>
        <v>0</v>
      </c>
      <c r="G35" s="103">
        <f t="shared" si="6"/>
        <v>0</v>
      </c>
      <c r="H35" s="88" t="s">
        <v>106</v>
      </c>
    </row>
    <row r="36" spans="1:16" x14ac:dyDescent="0.5">
      <c r="I36" s="104"/>
    </row>
    <row r="37" spans="1:16" x14ac:dyDescent="0.5">
      <c r="A37" s="214" t="s">
        <v>230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ht="18" thickBot="1" x14ac:dyDescent="0.55000000000000004"/>
    <row r="39" spans="1:16" ht="18" thickBot="1" x14ac:dyDescent="0.55000000000000004">
      <c r="B39" s="221" t="s">
        <v>109</v>
      </c>
      <c r="C39" s="222"/>
      <c r="D39" s="223"/>
      <c r="J39" s="221" t="s">
        <v>110</v>
      </c>
      <c r="K39" s="222"/>
      <c r="L39" s="222"/>
      <c r="M39" s="223"/>
    </row>
    <row r="40" spans="1:16" x14ac:dyDescent="0.5">
      <c r="A40" s="105" t="s">
        <v>61</v>
      </c>
      <c r="B40" s="106" t="s">
        <v>91</v>
      </c>
      <c r="C40" s="106" t="s">
        <v>92</v>
      </c>
      <c r="D40" s="106" t="s">
        <v>99</v>
      </c>
      <c r="E40" s="105" t="s">
        <v>93</v>
      </c>
      <c r="F40" s="105" t="s">
        <v>95</v>
      </c>
      <c r="G40" s="105" t="s">
        <v>96</v>
      </c>
      <c r="H40" s="105" t="s">
        <v>134</v>
      </c>
      <c r="J40" s="106" t="s">
        <v>91</v>
      </c>
      <c r="K40" s="106" t="s">
        <v>92</v>
      </c>
      <c r="L40" s="106" t="s">
        <v>99</v>
      </c>
      <c r="M40" s="106" t="s">
        <v>93</v>
      </c>
      <c r="N40" s="105" t="s">
        <v>95</v>
      </c>
      <c r="O40" s="105" t="s">
        <v>96</v>
      </c>
      <c r="P40" s="105" t="s">
        <v>134</v>
      </c>
    </row>
    <row r="41" spans="1:16" x14ac:dyDescent="0.5">
      <c r="A41" s="142" t="s">
        <v>329</v>
      </c>
      <c r="B41" s="143"/>
      <c r="C41" s="143"/>
      <c r="D41" s="143"/>
      <c r="E41" s="143"/>
      <c r="F41" s="143"/>
      <c r="G41" s="143"/>
      <c r="H41" s="143">
        <v>10</v>
      </c>
      <c r="J41" s="143"/>
      <c r="K41" s="143">
        <v>1</v>
      </c>
      <c r="L41" s="143"/>
      <c r="M41" s="143"/>
      <c r="N41" s="143"/>
      <c r="O41" s="143"/>
      <c r="P41" s="143"/>
    </row>
    <row r="42" spans="1:16" x14ac:dyDescent="0.5">
      <c r="A42" s="142" t="s">
        <v>330</v>
      </c>
      <c r="B42" s="143"/>
      <c r="C42" s="143"/>
      <c r="D42" s="143"/>
      <c r="E42" s="143"/>
      <c r="F42" s="143"/>
      <c r="G42" s="143"/>
      <c r="H42" s="143">
        <v>10</v>
      </c>
      <c r="J42" s="143"/>
      <c r="K42" s="143">
        <v>1</v>
      </c>
      <c r="L42" s="143"/>
      <c r="M42" s="143"/>
      <c r="N42" s="143"/>
      <c r="O42" s="143"/>
      <c r="P42" s="143"/>
    </row>
    <row r="43" spans="1:16" x14ac:dyDescent="0.5">
      <c r="A43" s="142" t="s">
        <v>331</v>
      </c>
      <c r="B43" s="143"/>
      <c r="C43" s="143"/>
      <c r="D43" s="143"/>
      <c r="E43" s="143">
        <v>1</v>
      </c>
      <c r="F43" s="143"/>
      <c r="G43" s="143"/>
      <c r="H43" s="144"/>
      <c r="J43" s="143"/>
      <c r="K43" s="143"/>
      <c r="L43" s="143"/>
      <c r="M43" s="143"/>
      <c r="N43" s="143"/>
      <c r="O43" s="143"/>
      <c r="P43" s="143">
        <v>11</v>
      </c>
    </row>
    <row r="44" spans="1:16" x14ac:dyDescent="0.5">
      <c r="A44" s="142" t="s">
        <v>332</v>
      </c>
      <c r="B44" s="143"/>
      <c r="C44" s="143"/>
      <c r="D44" s="143"/>
      <c r="E44" s="143"/>
      <c r="F44" s="143"/>
      <c r="G44" s="143"/>
      <c r="H44" s="144">
        <v>10</v>
      </c>
      <c r="J44" s="143"/>
      <c r="K44" s="143">
        <v>1</v>
      </c>
      <c r="L44" s="143"/>
      <c r="M44" s="143"/>
      <c r="N44" s="143"/>
      <c r="O44" s="143"/>
      <c r="P44" s="143"/>
    </row>
    <row r="45" spans="1:16" x14ac:dyDescent="0.5">
      <c r="A45" s="142" t="s">
        <v>333</v>
      </c>
      <c r="B45" s="143"/>
      <c r="C45" s="143"/>
      <c r="D45" s="143"/>
      <c r="E45" s="143"/>
      <c r="F45" s="143"/>
      <c r="G45" s="143"/>
      <c r="H45" s="144">
        <v>10</v>
      </c>
      <c r="J45" s="143"/>
      <c r="K45" s="143"/>
      <c r="L45" s="143">
        <v>1</v>
      </c>
      <c r="M45" s="143"/>
      <c r="N45" s="143"/>
      <c r="O45" s="143"/>
      <c r="P45" s="143"/>
    </row>
    <row r="46" spans="1:16" x14ac:dyDescent="0.5">
      <c r="A46" s="142" t="s">
        <v>334</v>
      </c>
      <c r="B46" s="143"/>
      <c r="C46" s="143"/>
      <c r="D46" s="143"/>
      <c r="E46" s="143"/>
      <c r="F46" s="143"/>
      <c r="G46" s="143"/>
      <c r="H46" s="143">
        <v>10</v>
      </c>
      <c r="J46" s="143"/>
      <c r="K46" s="143"/>
      <c r="L46" s="143">
        <v>1</v>
      </c>
      <c r="M46" s="143"/>
      <c r="N46" s="143"/>
      <c r="O46" s="143"/>
      <c r="P46" s="143"/>
    </row>
    <row r="47" spans="1:16" x14ac:dyDescent="0.5">
      <c r="A47" s="142" t="s">
        <v>335</v>
      </c>
      <c r="B47" s="143"/>
      <c r="C47" s="143"/>
      <c r="D47" s="143"/>
      <c r="E47" s="143">
        <v>1</v>
      </c>
      <c r="F47" s="143"/>
      <c r="G47" s="143"/>
      <c r="H47" s="144"/>
      <c r="J47" s="143"/>
      <c r="K47" s="143"/>
      <c r="L47" s="143"/>
      <c r="M47" s="143"/>
      <c r="N47" s="143"/>
      <c r="O47" s="143"/>
      <c r="P47" s="143">
        <v>11</v>
      </c>
    </row>
    <row r="48" spans="1:16" s="212" customFormat="1" x14ac:dyDescent="0.5">
      <c r="A48" s="189" t="s">
        <v>346</v>
      </c>
      <c r="B48" s="143"/>
      <c r="C48" s="143"/>
      <c r="D48" s="143"/>
      <c r="E48" s="143"/>
      <c r="F48" s="143"/>
      <c r="G48" s="143"/>
      <c r="H48" s="144">
        <v>10</v>
      </c>
      <c r="J48" s="143"/>
      <c r="K48" s="143"/>
      <c r="L48" s="143"/>
      <c r="M48" s="143"/>
      <c r="N48" s="143"/>
      <c r="O48" s="143">
        <v>1</v>
      </c>
      <c r="P48" s="143"/>
    </row>
    <row r="49" spans="1:17" s="212" customFormat="1" x14ac:dyDescent="0.5">
      <c r="A49" s="189" t="s">
        <v>347</v>
      </c>
      <c r="B49" s="143">
        <v>1</v>
      </c>
      <c r="C49" s="143"/>
      <c r="D49" s="143"/>
      <c r="E49" s="143"/>
      <c r="F49" s="143"/>
      <c r="G49" s="143"/>
      <c r="H49" s="144"/>
      <c r="J49" s="143"/>
      <c r="K49" s="143"/>
      <c r="L49" s="143"/>
      <c r="M49" s="143"/>
      <c r="N49" s="143"/>
      <c r="O49" s="143"/>
      <c r="P49" s="143">
        <v>23</v>
      </c>
    </row>
    <row r="50" spans="1:17" s="212" customFormat="1" x14ac:dyDescent="0.5">
      <c r="A50" s="189"/>
      <c r="B50" s="143"/>
      <c r="C50" s="143"/>
      <c r="D50" s="143"/>
      <c r="E50" s="143"/>
      <c r="F50" s="143"/>
      <c r="G50" s="143"/>
      <c r="H50" s="144"/>
      <c r="J50" s="143"/>
      <c r="K50" s="143"/>
      <c r="L50" s="143"/>
      <c r="M50" s="143"/>
      <c r="N50" s="143"/>
      <c r="O50" s="143"/>
      <c r="P50" s="143"/>
    </row>
    <row r="51" spans="1:17" s="212" customFormat="1" x14ac:dyDescent="0.5">
      <c r="A51" s="189"/>
      <c r="B51" s="143"/>
      <c r="C51" s="143"/>
      <c r="D51" s="143"/>
      <c r="E51" s="143"/>
      <c r="F51" s="143"/>
      <c r="G51" s="143"/>
      <c r="H51" s="144"/>
      <c r="J51" s="143"/>
      <c r="K51" s="143"/>
      <c r="L51" s="143"/>
      <c r="M51" s="143"/>
      <c r="N51" s="143"/>
      <c r="O51" s="143"/>
      <c r="P51" s="143"/>
    </row>
    <row r="52" spans="1:17" s="212" customFormat="1" x14ac:dyDescent="0.5">
      <c r="A52" s="189"/>
      <c r="B52" s="143"/>
      <c r="C52" s="143"/>
      <c r="D52" s="143"/>
      <c r="E52" s="143"/>
      <c r="F52" s="143"/>
      <c r="G52" s="143"/>
      <c r="H52" s="144"/>
      <c r="J52" s="143"/>
      <c r="K52" s="143"/>
      <c r="L52" s="143"/>
      <c r="M52" s="143"/>
      <c r="N52" s="143"/>
      <c r="O52" s="143"/>
      <c r="P52" s="143"/>
    </row>
    <row r="53" spans="1:17" s="212" customFormat="1" x14ac:dyDescent="0.5">
      <c r="A53" s="189"/>
      <c r="B53" s="143"/>
      <c r="C53" s="143"/>
      <c r="D53" s="143"/>
      <c r="E53" s="143"/>
      <c r="F53" s="143"/>
      <c r="G53" s="143"/>
      <c r="H53" s="144"/>
      <c r="J53" s="143"/>
      <c r="K53" s="143"/>
      <c r="L53" s="143"/>
      <c r="M53" s="143"/>
      <c r="N53" s="143"/>
      <c r="O53" s="143"/>
      <c r="P53" s="143"/>
    </row>
    <row r="54" spans="1:17" s="212" customFormat="1" x14ac:dyDescent="0.5">
      <c r="A54" s="189"/>
      <c r="B54" s="143"/>
      <c r="C54" s="143"/>
      <c r="D54" s="143"/>
      <c r="E54" s="143"/>
      <c r="F54" s="143"/>
      <c r="G54" s="143"/>
      <c r="H54" s="144"/>
      <c r="J54" s="143"/>
      <c r="K54" s="143"/>
      <c r="L54" s="143"/>
      <c r="M54" s="143"/>
      <c r="N54" s="143"/>
      <c r="O54" s="143"/>
      <c r="P54" s="143"/>
    </row>
    <row r="55" spans="1:17" s="212" customFormat="1" x14ac:dyDescent="0.5">
      <c r="A55" s="189"/>
      <c r="B55" s="143"/>
      <c r="C55" s="143"/>
      <c r="D55" s="143"/>
      <c r="E55" s="143"/>
      <c r="F55" s="143"/>
      <c r="G55" s="143"/>
      <c r="H55" s="144"/>
      <c r="J55" s="143"/>
      <c r="K55" s="143"/>
      <c r="L55" s="143"/>
      <c r="M55" s="143"/>
      <c r="N55" s="143"/>
      <c r="O55" s="143"/>
      <c r="P55" s="143"/>
    </row>
    <row r="56" spans="1:17" s="212" customFormat="1" x14ac:dyDescent="0.5">
      <c r="A56" s="189"/>
      <c r="B56" s="143"/>
      <c r="C56" s="143"/>
      <c r="D56" s="143"/>
      <c r="E56" s="143"/>
      <c r="F56" s="143"/>
      <c r="G56" s="143"/>
      <c r="H56" s="144"/>
      <c r="J56" s="143"/>
      <c r="K56" s="143"/>
      <c r="L56" s="143"/>
      <c r="M56" s="143"/>
      <c r="N56" s="143"/>
      <c r="O56" s="143"/>
      <c r="P56" s="143"/>
    </row>
    <row r="57" spans="1:17" s="212" customFormat="1" x14ac:dyDescent="0.5">
      <c r="A57" s="189"/>
      <c r="B57" s="143"/>
      <c r="C57" s="143"/>
      <c r="D57" s="143"/>
      <c r="E57" s="143"/>
      <c r="F57" s="143"/>
      <c r="G57" s="143"/>
      <c r="H57" s="144"/>
      <c r="J57" s="143"/>
      <c r="K57" s="143"/>
      <c r="L57" s="143"/>
      <c r="M57" s="143"/>
      <c r="N57" s="143"/>
      <c r="O57" s="143"/>
      <c r="P57" s="143"/>
    </row>
    <row r="58" spans="1:17" x14ac:dyDescent="0.5">
      <c r="A58" s="142"/>
      <c r="B58" s="143"/>
      <c r="C58" s="143"/>
      <c r="D58" s="143"/>
      <c r="E58" s="143"/>
      <c r="F58" s="143"/>
      <c r="G58" s="143"/>
      <c r="H58" s="144"/>
      <c r="J58" s="143"/>
      <c r="K58" s="143"/>
      <c r="L58" s="143"/>
      <c r="M58" s="143"/>
      <c r="N58" s="143"/>
      <c r="O58" s="143"/>
      <c r="P58" s="143"/>
    </row>
    <row r="59" spans="1:17" x14ac:dyDescent="0.5">
      <c r="A59" s="142"/>
      <c r="B59" s="143"/>
      <c r="C59" s="143"/>
      <c r="D59" s="143"/>
      <c r="E59" s="143"/>
      <c r="F59" s="143"/>
      <c r="G59" s="143"/>
      <c r="H59" s="143"/>
      <c r="J59" s="143"/>
      <c r="K59" s="143"/>
      <c r="L59" s="143"/>
      <c r="M59" s="143"/>
      <c r="N59" s="143"/>
      <c r="O59" s="143"/>
      <c r="P59" s="143"/>
    </row>
    <row r="60" spans="1:17" ht="18" thickBot="1" x14ac:dyDescent="0.55000000000000004">
      <c r="A60" s="142"/>
      <c r="B60" s="143"/>
      <c r="C60" s="143"/>
      <c r="D60" s="143"/>
      <c r="E60" s="143"/>
      <c r="F60" s="143"/>
      <c r="G60" s="143"/>
      <c r="H60" s="144"/>
      <c r="J60" s="143"/>
      <c r="K60" s="143"/>
      <c r="L60" s="143"/>
      <c r="M60" s="143"/>
      <c r="N60" s="143"/>
      <c r="O60" s="143"/>
      <c r="P60" s="143"/>
    </row>
    <row r="61" spans="1:17" ht="18" thickBot="1" x14ac:dyDescent="0.55000000000000004">
      <c r="A61" s="105" t="s">
        <v>107</v>
      </c>
      <c r="B61" s="143"/>
      <c r="C61" s="143"/>
      <c r="D61" s="143"/>
      <c r="E61" s="143"/>
      <c r="F61" s="143"/>
      <c r="G61" s="143"/>
      <c r="H61" s="103">
        <f>-((J61*M23)+(K61*M24)+(L61*M26)+(M61*M25)+(N61*M27)+(O61*M28))</f>
        <v>0</v>
      </c>
      <c r="J61" s="143"/>
      <c r="K61" s="143"/>
      <c r="L61" s="143"/>
      <c r="M61" s="143"/>
      <c r="N61" s="143"/>
      <c r="O61" s="143"/>
      <c r="P61" s="103">
        <f>(B61*N23)+(C61*N24)+(D61*N26)+(E61*N25)+(F61*N27)+(G61*N28)</f>
        <v>0</v>
      </c>
    </row>
    <row r="62" spans="1:17" ht="18" thickBot="1" x14ac:dyDescent="0.55000000000000004">
      <c r="A62" s="107" t="s">
        <v>89</v>
      </c>
      <c r="B62" s="143"/>
      <c r="C62" s="143"/>
      <c r="D62" s="143"/>
      <c r="E62" s="143"/>
      <c r="F62" s="143"/>
      <c r="G62" s="143"/>
      <c r="H62" s="103">
        <f>-((J62*K23)+(K62*K24)+(L62*K26)+(M62*K25)+(N62*K27)+(O62*K28))</f>
        <v>0</v>
      </c>
      <c r="J62" s="143"/>
      <c r="K62" s="143"/>
      <c r="L62" s="143"/>
      <c r="M62" s="143"/>
      <c r="N62" s="143"/>
      <c r="O62" s="143"/>
      <c r="P62" s="103">
        <f>-((B62*L23)+(C62*L24)+(D62*L26)+(E62*L25)+(F62*L27)+(G62*L28))</f>
        <v>0</v>
      </c>
    </row>
    <row r="63" spans="1:17" ht="18" thickBot="1" x14ac:dyDescent="0.55000000000000004">
      <c r="A63" s="83" t="s">
        <v>2</v>
      </c>
      <c r="B63" s="103">
        <f t="shared" ref="B63:G63" si="7">SUM(B41:B62)</f>
        <v>1</v>
      </c>
      <c r="C63" s="103">
        <f t="shared" si="7"/>
        <v>0</v>
      </c>
      <c r="D63" s="103">
        <f t="shared" si="7"/>
        <v>0</v>
      </c>
      <c r="E63" s="103">
        <f t="shared" si="7"/>
        <v>2</v>
      </c>
      <c r="F63" s="103">
        <f t="shared" si="7"/>
        <v>0</v>
      </c>
      <c r="G63" s="103">
        <f t="shared" si="7"/>
        <v>0</v>
      </c>
      <c r="H63" s="108">
        <f>SUM(H61:H62)-SUM(H41:H60)</f>
        <v>-60</v>
      </c>
      <c r="I63" s="83" t="s">
        <v>2</v>
      </c>
      <c r="J63" s="103">
        <f t="shared" ref="J63:O63" si="8">SUM(J41:J62)</f>
        <v>0</v>
      </c>
      <c r="K63" s="103">
        <f t="shared" si="8"/>
        <v>3</v>
      </c>
      <c r="L63" s="103">
        <f t="shared" si="8"/>
        <v>2</v>
      </c>
      <c r="M63" s="103">
        <f t="shared" si="8"/>
        <v>0</v>
      </c>
      <c r="N63" s="103">
        <f t="shared" si="8"/>
        <v>0</v>
      </c>
      <c r="O63" s="103">
        <f t="shared" si="8"/>
        <v>1</v>
      </c>
      <c r="P63" s="108">
        <f xml:space="preserve"> SUM(P41:P61)-P62</f>
        <v>45</v>
      </c>
      <c r="Q63" s="109"/>
    </row>
    <row r="64" spans="1:17" ht="18" thickBot="1" x14ac:dyDescent="0.55000000000000004">
      <c r="B64" s="89"/>
      <c r="C64" s="89"/>
      <c r="D64" s="89"/>
      <c r="E64" s="89"/>
      <c r="F64" s="89"/>
      <c r="G64" s="89"/>
      <c r="H64" s="90"/>
      <c r="I64" s="110"/>
      <c r="J64" s="89"/>
      <c r="K64" s="89"/>
      <c r="L64" s="89"/>
      <c r="M64" s="89"/>
      <c r="N64" s="89"/>
      <c r="O64" s="89"/>
      <c r="P64" s="90"/>
    </row>
    <row r="65" spans="1:16" ht="18" thickBot="1" x14ac:dyDescent="0.55000000000000004">
      <c r="B65" s="83">
        <f>Colonias!D73</f>
        <v>0</v>
      </c>
      <c r="C65" s="83">
        <f>Colonias!E73</f>
        <v>0</v>
      </c>
      <c r="D65" s="83">
        <f>Colonias!F73</f>
        <v>0</v>
      </c>
      <c r="E65" s="83">
        <f>Colonias!G73</f>
        <v>0</v>
      </c>
      <c r="F65" s="83">
        <f>Colonias!H73</f>
        <v>0</v>
      </c>
      <c r="G65" s="83">
        <f>Colonias!I73</f>
        <v>0</v>
      </c>
      <c r="H65" s="83" t="s">
        <v>108</v>
      </c>
    </row>
    <row r="66" spans="1:16" ht="18" thickBot="1" x14ac:dyDescent="0.55000000000000004">
      <c r="A66" s="81" t="s">
        <v>111</v>
      </c>
      <c r="B66" s="96">
        <f t="shared" ref="B66:G66" si="9">B25-B63+J63</f>
        <v>-7.1327272727272719</v>
      </c>
      <c r="C66" s="96">
        <f t="shared" si="9"/>
        <v>-7</v>
      </c>
      <c r="D66" s="96">
        <f t="shared" si="9"/>
        <v>6</v>
      </c>
      <c r="E66" s="96">
        <f t="shared" si="9"/>
        <v>-2</v>
      </c>
      <c r="F66" s="96">
        <f t="shared" si="9"/>
        <v>3</v>
      </c>
      <c r="G66" s="96">
        <f t="shared" si="9"/>
        <v>3</v>
      </c>
      <c r="H66" s="111">
        <f>B15+H63+P63</f>
        <v>363.38499999999999</v>
      </c>
      <c r="J66" s="87"/>
    </row>
    <row r="67" spans="1:16" x14ac:dyDescent="0.5">
      <c r="A67" s="89"/>
      <c r="B67" s="101"/>
      <c r="C67" s="101"/>
      <c r="D67" s="101"/>
      <c r="E67" s="101"/>
      <c r="F67" s="101"/>
      <c r="G67" s="101"/>
      <c r="H67" s="91"/>
      <c r="I67" s="89"/>
    </row>
    <row r="68" spans="1:16" x14ac:dyDescent="0.5">
      <c r="A68" s="81" t="s">
        <v>6</v>
      </c>
    </row>
    <row r="69" spans="1:16" ht="18" thickBot="1" x14ac:dyDescent="0.55000000000000004">
      <c r="A69" s="81" t="s">
        <v>112</v>
      </c>
      <c r="B69" s="81" t="s">
        <v>133</v>
      </c>
      <c r="C69" s="81" t="s">
        <v>92</v>
      </c>
      <c r="D69" s="81" t="s">
        <v>99</v>
      </c>
      <c r="E69" s="81" t="s">
        <v>93</v>
      </c>
      <c r="F69" s="81" t="s">
        <v>95</v>
      </c>
      <c r="G69" s="81" t="s">
        <v>96</v>
      </c>
      <c r="H69" s="81" t="s">
        <v>134</v>
      </c>
      <c r="I69" s="81" t="s">
        <v>135</v>
      </c>
    </row>
    <row r="70" spans="1:16" ht="18" thickBot="1" x14ac:dyDescent="0.55000000000000004">
      <c r="A70" s="81" t="s">
        <v>113</v>
      </c>
      <c r="B70" s="143"/>
      <c r="C70" s="112" t="s">
        <v>6</v>
      </c>
      <c r="D70" s="103">
        <f>B70</f>
        <v>0</v>
      </c>
      <c r="E70" s="112"/>
      <c r="F70" s="112"/>
      <c r="G70" s="112"/>
      <c r="H70" s="112"/>
      <c r="I70" s="83">
        <f>B70</f>
        <v>0</v>
      </c>
    </row>
    <row r="71" spans="1:16" ht="18" thickBot="1" x14ac:dyDescent="0.55000000000000004">
      <c r="A71" s="81" t="s">
        <v>114</v>
      </c>
      <c r="B71" s="143"/>
      <c r="C71" s="112" t="s">
        <v>6</v>
      </c>
      <c r="D71" s="112"/>
      <c r="E71" s="112"/>
      <c r="F71" s="83">
        <f>B71</f>
        <v>0</v>
      </c>
      <c r="G71" s="83">
        <f>B71</f>
        <v>0</v>
      </c>
      <c r="H71" s="112"/>
      <c r="I71" s="83">
        <f>B71*2</f>
        <v>0</v>
      </c>
    </row>
    <row r="72" spans="1:16" ht="18" thickBot="1" x14ac:dyDescent="0.55000000000000004">
      <c r="A72" s="81" t="s">
        <v>115</v>
      </c>
      <c r="B72" s="143"/>
      <c r="C72" s="112"/>
      <c r="D72" s="112"/>
      <c r="E72" s="112"/>
      <c r="F72" s="83">
        <f>B72</f>
        <v>0</v>
      </c>
      <c r="G72" s="83">
        <f>B72</f>
        <v>0</v>
      </c>
      <c r="H72" s="112"/>
      <c r="I72" s="83">
        <f>B72</f>
        <v>0</v>
      </c>
    </row>
    <row r="73" spans="1:16" ht="18" thickBot="1" x14ac:dyDescent="0.55000000000000004">
      <c r="A73" s="81" t="s">
        <v>116</v>
      </c>
      <c r="B73" s="112"/>
      <c r="C73" s="112"/>
      <c r="D73" s="112"/>
      <c r="E73" s="143">
        <v>0</v>
      </c>
      <c r="F73" s="112"/>
      <c r="G73" s="112"/>
      <c r="H73" s="86">
        <f>E73*6</f>
        <v>0</v>
      </c>
      <c r="I73" s="83">
        <f>E73</f>
        <v>0</v>
      </c>
    </row>
    <row r="74" spans="1:16" ht="18" thickBot="1" x14ac:dyDescent="0.55000000000000004">
      <c r="A74" s="81" t="s">
        <v>60</v>
      </c>
      <c r="B74" s="96">
        <f>B66+B70+(B71*2)</f>
        <v>-7.1327272727272719</v>
      </c>
      <c r="C74" s="96">
        <f>C66</f>
        <v>-7</v>
      </c>
      <c r="D74" s="96">
        <f>D66-D70</f>
        <v>6</v>
      </c>
      <c r="E74" s="96">
        <f>E73+E66</f>
        <v>-2</v>
      </c>
      <c r="F74" s="96">
        <f>F66-F71-F72</f>
        <v>3</v>
      </c>
      <c r="G74" s="96">
        <f>G66-G71-G72</f>
        <v>3</v>
      </c>
      <c r="H74" s="111">
        <f>H66-H73</f>
        <v>363.38499999999999</v>
      </c>
      <c r="I74" s="83">
        <f>B23-I70-I71-I72-I73</f>
        <v>28</v>
      </c>
    </row>
    <row r="76" spans="1:16" x14ac:dyDescent="0.5">
      <c r="A76" s="214" t="s">
        <v>137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8" spans="1:16" ht="18" thickBot="1" x14ac:dyDescent="0.55000000000000004">
      <c r="A78" s="113" t="s">
        <v>236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1:16" x14ac:dyDescent="0.5">
      <c r="A79" s="236" t="s">
        <v>127</v>
      </c>
      <c r="B79" s="236" t="s">
        <v>117</v>
      </c>
      <c r="C79" s="236" t="s">
        <v>243</v>
      </c>
      <c r="D79" s="236" t="s">
        <v>126</v>
      </c>
      <c r="E79" s="226" t="s">
        <v>119</v>
      </c>
      <c r="F79" s="226" t="s">
        <v>118</v>
      </c>
      <c r="G79" s="224" t="s">
        <v>117</v>
      </c>
      <c r="H79" s="224" t="s">
        <v>121</v>
      </c>
    </row>
    <row r="80" spans="1:16" ht="18" thickBot="1" x14ac:dyDescent="0.55000000000000004">
      <c r="A80" s="237"/>
      <c r="B80" s="237"/>
      <c r="C80" s="237"/>
      <c r="D80" s="237"/>
      <c r="E80" s="227"/>
      <c r="F80" s="227"/>
      <c r="G80" s="225"/>
      <c r="H80" s="225"/>
    </row>
    <row r="81" spans="1:9" ht="18" thickBot="1" x14ac:dyDescent="0.55000000000000004">
      <c r="A81" s="83" t="s">
        <v>135</v>
      </c>
      <c r="B81" s="186">
        <v>100</v>
      </c>
      <c r="C81" s="92">
        <v>0</v>
      </c>
      <c r="D81" s="190" t="s">
        <v>10</v>
      </c>
      <c r="E81" s="92">
        <f>IF(H81="Si",0.4,0.33)</f>
        <v>0.33</v>
      </c>
      <c r="F81" s="92" t="str">
        <f>IF(D81="Si",(IF((C81+E81)&gt;1,1,(C81+E81)))," ")</f>
        <v xml:space="preserve"> </v>
      </c>
      <c r="G81" s="86" t="str">
        <f>IF(D81="Continue",5,(IF(D81="Si",(IF((C81+E81)&gt;1,5,B81))," ")))</f>
        <v xml:space="preserve"> </v>
      </c>
      <c r="H81" s="165" t="s">
        <v>10</v>
      </c>
      <c r="I81" s="115"/>
    </row>
    <row r="82" spans="1:9" s="147" customFormat="1" ht="18" thickBot="1" x14ac:dyDescent="0.55000000000000004">
      <c r="A82" s="146" t="s">
        <v>95</v>
      </c>
      <c r="B82" s="186">
        <v>60</v>
      </c>
      <c r="C82" s="92">
        <v>0</v>
      </c>
      <c r="D82" s="190" t="s">
        <v>10</v>
      </c>
      <c r="E82" s="92">
        <f t="shared" ref="E82:E89" si="10">IF(H82="Si",0.4,0.33)</f>
        <v>0.33</v>
      </c>
      <c r="F82" s="92" t="str">
        <f t="shared" ref="F82:F89" si="11">IF(D82="Si",(IF((C82+E82)&gt;1,1,(C82+E82)))," ")</f>
        <v xml:space="preserve"> </v>
      </c>
      <c r="G82" s="86" t="str">
        <f t="shared" ref="G82:G89" si="12">IF(D82="Continue",5,(IF(D82="Si",(IF((C82+E82)&gt;1,5,B82))," ")))</f>
        <v xml:space="preserve"> </v>
      </c>
      <c r="H82" s="185" t="s">
        <v>10</v>
      </c>
      <c r="I82" s="115"/>
    </row>
    <row r="83" spans="1:9" s="147" customFormat="1" ht="18" thickBot="1" x14ac:dyDescent="0.55000000000000004">
      <c r="A83" s="146" t="s">
        <v>96</v>
      </c>
      <c r="B83" s="186">
        <v>70</v>
      </c>
      <c r="C83" s="92">
        <v>0</v>
      </c>
      <c r="D83" s="190" t="s">
        <v>10</v>
      </c>
      <c r="E83" s="92">
        <f t="shared" si="10"/>
        <v>0.33</v>
      </c>
      <c r="F83" s="92" t="str">
        <f t="shared" si="11"/>
        <v xml:space="preserve"> </v>
      </c>
      <c r="G83" s="86" t="str">
        <f t="shared" si="12"/>
        <v xml:space="preserve"> </v>
      </c>
      <c r="H83" s="185" t="s">
        <v>10</v>
      </c>
      <c r="I83" s="115"/>
    </row>
    <row r="84" spans="1:9" ht="18" thickBot="1" x14ac:dyDescent="0.55000000000000004">
      <c r="A84" s="146" t="s">
        <v>99</v>
      </c>
      <c r="B84" s="86">
        <v>65</v>
      </c>
      <c r="C84" s="92">
        <v>0</v>
      </c>
      <c r="D84" s="190" t="s">
        <v>10</v>
      </c>
      <c r="E84" s="92">
        <f t="shared" si="10"/>
        <v>0.33</v>
      </c>
      <c r="F84" s="92" t="str">
        <f t="shared" si="11"/>
        <v xml:space="preserve"> </v>
      </c>
      <c r="G84" s="86" t="str">
        <f t="shared" si="12"/>
        <v xml:space="preserve"> </v>
      </c>
      <c r="H84" s="185" t="s">
        <v>10</v>
      </c>
      <c r="I84" s="84"/>
    </row>
    <row r="85" spans="1:9" ht="18" thickBot="1" x14ac:dyDescent="0.55000000000000004">
      <c r="A85" s="142"/>
      <c r="B85" s="86" t="str">
        <f>IF(A85="","",VLOOKUP(A85,Colonias!$B$37:$E$63,4,FALSE))</f>
        <v/>
      </c>
      <c r="C85" s="92">
        <f>IF(A85="",0,VLOOKUP(A85,Colonias!$B$37:$F$63,5,FALSE))</f>
        <v>0</v>
      </c>
      <c r="D85" s="145" t="s">
        <v>10</v>
      </c>
      <c r="E85" s="92">
        <f t="shared" si="10"/>
        <v>0.33</v>
      </c>
      <c r="F85" s="92" t="str">
        <f t="shared" si="11"/>
        <v xml:space="preserve"> </v>
      </c>
      <c r="G85" s="86" t="str">
        <f t="shared" si="12"/>
        <v xml:space="preserve"> </v>
      </c>
      <c r="H85" s="83" t="str">
        <f>IF(A85="","No",VLOOKUP(A85,Colonias!$B$37:$G$63,6,FALSE))</f>
        <v>No</v>
      </c>
      <c r="I85" s="84"/>
    </row>
    <row r="86" spans="1:9" ht="18" thickBot="1" x14ac:dyDescent="0.55000000000000004">
      <c r="A86" s="189"/>
      <c r="B86" s="186" t="str">
        <f>IF(A86="","",VLOOKUP(A86,Colonias!$B$37:$E$63,4,FALSE))</f>
        <v/>
      </c>
      <c r="C86" s="188">
        <f>IF(A86="",0,VLOOKUP(A86,Colonias!$B$37:$F$63,5,FALSE))</f>
        <v>0</v>
      </c>
      <c r="D86" s="145" t="s">
        <v>10</v>
      </c>
      <c r="E86" s="92">
        <f t="shared" si="10"/>
        <v>0.33</v>
      </c>
      <c r="F86" s="92" t="str">
        <f t="shared" si="11"/>
        <v xml:space="preserve"> </v>
      </c>
      <c r="G86" s="86" t="str">
        <f t="shared" si="12"/>
        <v xml:space="preserve"> </v>
      </c>
      <c r="H86" s="185" t="str">
        <f>IF(A86="","No",VLOOKUP(A86,Colonias!$B$37:$G$63,6,FALSE))</f>
        <v>No</v>
      </c>
      <c r="I86" s="84"/>
    </row>
    <row r="87" spans="1:9" ht="18" thickBot="1" x14ac:dyDescent="0.55000000000000004">
      <c r="A87" s="189"/>
      <c r="B87" s="186" t="str">
        <f>IF(A87="","",VLOOKUP(A87,Colonias!$B$37:$E$63,4,FALSE))</f>
        <v/>
      </c>
      <c r="C87" s="188">
        <f>IF(A87="",0,VLOOKUP(A87,Colonias!$B$37:$F$63,5,FALSE))</f>
        <v>0</v>
      </c>
      <c r="D87" s="145" t="s">
        <v>10</v>
      </c>
      <c r="E87" s="92">
        <f t="shared" si="10"/>
        <v>0.33</v>
      </c>
      <c r="F87" s="92" t="str">
        <f t="shared" si="11"/>
        <v xml:space="preserve"> </v>
      </c>
      <c r="G87" s="86" t="str">
        <f t="shared" si="12"/>
        <v xml:space="preserve"> </v>
      </c>
      <c r="H87" s="185" t="str">
        <f>IF(A87="","No",VLOOKUP(A87,Colonias!$B$37:$G$63,6,FALSE))</f>
        <v>No</v>
      </c>
      <c r="I87" s="84"/>
    </row>
    <row r="88" spans="1:9" ht="18" thickBot="1" x14ac:dyDescent="0.55000000000000004">
      <c r="A88" s="189"/>
      <c r="B88" s="186" t="str">
        <f>IF(A88="","",VLOOKUP(A88,Colonias!$B$37:$E$63,4,FALSE))</f>
        <v/>
      </c>
      <c r="C88" s="188">
        <f>IF(A88="",0,VLOOKUP(A88,Colonias!$B$37:$F$63,5,FALSE))</f>
        <v>0</v>
      </c>
      <c r="D88" s="145" t="s">
        <v>10</v>
      </c>
      <c r="E88" s="92">
        <f t="shared" si="10"/>
        <v>0.33</v>
      </c>
      <c r="F88" s="92" t="str">
        <f t="shared" si="11"/>
        <v xml:space="preserve"> </v>
      </c>
      <c r="G88" s="86" t="str">
        <f t="shared" si="12"/>
        <v xml:space="preserve"> </v>
      </c>
      <c r="H88" s="185" t="str">
        <f>IF(A88="","No",VLOOKUP(A88,Colonias!$B$37:$G$63,6,FALSE))</f>
        <v>No</v>
      </c>
      <c r="I88" s="84"/>
    </row>
    <row r="89" spans="1:9" ht="18" thickBot="1" x14ac:dyDescent="0.55000000000000004">
      <c r="A89" s="189"/>
      <c r="B89" s="186" t="str">
        <f>IF(A89="","",VLOOKUP(A89,Colonias!$B$37:$E$63,4,FALSE))</f>
        <v/>
      </c>
      <c r="C89" s="188">
        <f>IF(A89="",0,VLOOKUP(A89,Colonias!$B$37:$F$63,5,FALSE))</f>
        <v>0</v>
      </c>
      <c r="D89" s="145" t="s">
        <v>10</v>
      </c>
      <c r="E89" s="92">
        <f t="shared" si="10"/>
        <v>0.33</v>
      </c>
      <c r="F89" s="92" t="str">
        <f t="shared" si="11"/>
        <v xml:space="preserve"> </v>
      </c>
      <c r="G89" s="86" t="str">
        <f t="shared" si="12"/>
        <v xml:space="preserve"> </v>
      </c>
      <c r="H89" s="185" t="str">
        <f>IF(A89="","No",VLOOKUP(A89,Colonias!$B$37:$G$63,6,FALSE))</f>
        <v>No</v>
      </c>
      <c r="I89" s="84"/>
    </row>
    <row r="90" spans="1:9" ht="18" thickBot="1" x14ac:dyDescent="0.55000000000000004">
      <c r="B90" s="87"/>
      <c r="F90" s="116" t="s">
        <v>2</v>
      </c>
      <c r="G90" s="117">
        <f>SUM(G81:G89)</f>
        <v>0</v>
      </c>
    </row>
    <row r="91" spans="1:9" ht="18" thickBot="1" x14ac:dyDescent="0.55000000000000004">
      <c r="A91" s="118" t="s">
        <v>237</v>
      </c>
      <c r="B91" s="87"/>
      <c r="F91" s="89"/>
      <c r="G91" s="90"/>
    </row>
    <row r="92" spans="1:9" ht="18" thickBot="1" x14ac:dyDescent="0.55000000000000004">
      <c r="A92" s="83" t="s">
        <v>122</v>
      </c>
      <c r="B92" s="83" t="s">
        <v>117</v>
      </c>
      <c r="C92" s="83" t="s">
        <v>123</v>
      </c>
      <c r="D92" s="83" t="s">
        <v>126</v>
      </c>
      <c r="E92" s="83" t="s">
        <v>124</v>
      </c>
      <c r="F92" s="83" t="s">
        <v>117</v>
      </c>
      <c r="G92" s="90"/>
    </row>
    <row r="93" spans="1:9" ht="18" thickBot="1" x14ac:dyDescent="0.55000000000000004">
      <c r="A93" s="142"/>
      <c r="B93" s="86" t="str">
        <f>IF(A93="","",VLOOKUP(A93,Ferrocarriles!$F$5:$H$10,2,FALSE))</f>
        <v/>
      </c>
      <c r="C93" s="83" t="str">
        <f>IF(A93="","",VLOOKUP(A93,Ferrocarriles!$F$5:$H$10,3,FALSE))</f>
        <v/>
      </c>
      <c r="D93" s="153" t="s">
        <v>10</v>
      </c>
      <c r="E93" s="83">
        <f>IF(D93="Si",1,0)</f>
        <v>0</v>
      </c>
      <c r="F93" s="86">
        <f>IF(D93="Si",B93,0)</f>
        <v>0</v>
      </c>
      <c r="G93" s="119"/>
      <c r="H93" s="120"/>
    </row>
    <row r="94" spans="1:9" ht="18" thickBot="1" x14ac:dyDescent="0.55000000000000004">
      <c r="A94" s="142"/>
      <c r="B94" s="86" t="str">
        <f>IF(A94="","",VLOOKUP(A94,Ferrocarriles!$F$5:$H$15,2,FALSE))</f>
        <v/>
      </c>
      <c r="C94" s="146" t="str">
        <f>IF(A94="","",VLOOKUP(A94,Ferrocarriles!$F$5:$H$15,3,FALSE))</f>
        <v/>
      </c>
      <c r="D94" s="153" t="s">
        <v>10</v>
      </c>
      <c r="E94" s="83">
        <f t="shared" ref="E94:E96" si="13">IF(D94="Si",1,0)</f>
        <v>0</v>
      </c>
      <c r="F94" s="86">
        <f t="shared" ref="F94:F96" si="14">IF(D94="Si",B94,0)</f>
        <v>0</v>
      </c>
      <c r="G94" s="119"/>
      <c r="H94" s="120"/>
    </row>
    <row r="95" spans="1:9" ht="18" thickBot="1" x14ac:dyDescent="0.55000000000000004">
      <c r="A95" s="142"/>
      <c r="B95" s="86" t="str">
        <f>IF(A95="","",VLOOKUP(A95,Ferrocarriles!$F$5:$H$10,2,FALSE))</f>
        <v/>
      </c>
      <c r="C95" s="146" t="str">
        <f>IF(A95="","",VLOOKUP(A95,Ferrocarriles!$F$5:$H$10,3,FALSE))</f>
        <v/>
      </c>
      <c r="D95" s="153" t="s">
        <v>10</v>
      </c>
      <c r="E95" s="83">
        <f t="shared" si="13"/>
        <v>0</v>
      </c>
      <c r="F95" s="86">
        <f t="shared" si="14"/>
        <v>0</v>
      </c>
      <c r="G95" s="119"/>
      <c r="H95" s="120"/>
    </row>
    <row r="96" spans="1:9" ht="18" thickBot="1" x14ac:dyDescent="0.55000000000000004">
      <c r="A96" s="142"/>
      <c r="B96" s="86" t="str">
        <f>IF(A96="","",VLOOKUP(A96,Ferrocarriles!$F$5:$H$10,2,FALSE))</f>
        <v/>
      </c>
      <c r="C96" s="146" t="str">
        <f>IF(A96="","",VLOOKUP(A96,Ferrocarriles!$F$5:$H$10,3,FALSE))</f>
        <v/>
      </c>
      <c r="D96" s="153" t="s">
        <v>10</v>
      </c>
      <c r="E96" s="83">
        <f t="shared" si="13"/>
        <v>0</v>
      </c>
      <c r="F96" s="86">
        <f t="shared" si="14"/>
        <v>0</v>
      </c>
      <c r="G96" s="119"/>
      <c r="H96" s="120"/>
    </row>
    <row r="97" spans="1:12" ht="18" thickBot="1" x14ac:dyDescent="0.55000000000000004">
      <c r="B97" s="87"/>
      <c r="D97" s="83" t="s">
        <v>41</v>
      </c>
      <c r="E97" s="83">
        <f>SUM(E93:E96)</f>
        <v>0</v>
      </c>
      <c r="F97" s="86">
        <f>SUM(F93:F96)</f>
        <v>0</v>
      </c>
      <c r="G97" s="90"/>
    </row>
    <row r="98" spans="1:12" x14ac:dyDescent="0.5">
      <c r="B98" s="87"/>
      <c r="D98" s="89"/>
      <c r="E98" s="121" t="str">
        <f>IF(E97&gt;B72,"Need to build more HI points to complete this investment(s)"," ")</f>
        <v xml:space="preserve"> </v>
      </c>
      <c r="F98" s="89"/>
      <c r="G98" s="90"/>
    </row>
    <row r="99" spans="1:12" x14ac:dyDescent="0.5">
      <c r="B99" s="87"/>
      <c r="F99" s="89"/>
      <c r="G99" s="90"/>
    </row>
    <row r="100" spans="1:12" ht="18" thickBot="1" x14ac:dyDescent="0.55000000000000004">
      <c r="A100" s="118" t="s">
        <v>238</v>
      </c>
      <c r="B100" s="87"/>
      <c r="F100" s="87"/>
    </row>
    <row r="101" spans="1:12" ht="18" thickBot="1" x14ac:dyDescent="0.55000000000000004">
      <c r="A101" s="83" t="s">
        <v>125</v>
      </c>
      <c r="B101" s="83" t="s">
        <v>117</v>
      </c>
      <c r="F101" s="86" t="s">
        <v>117</v>
      </c>
      <c r="G101" s="83" t="s">
        <v>122</v>
      </c>
    </row>
    <row r="102" spans="1:12" ht="18" thickBot="1" x14ac:dyDescent="0.55000000000000004">
      <c r="A102" s="154"/>
      <c r="B102" s="155"/>
      <c r="C102" s="84"/>
      <c r="D102" s="115"/>
      <c r="F102" s="86">
        <f>B102</f>
        <v>0</v>
      </c>
      <c r="G102" s="153" t="s">
        <v>10</v>
      </c>
    </row>
    <row r="103" spans="1:12" ht="18" thickBot="1" x14ac:dyDescent="0.55000000000000004">
      <c r="A103" s="154"/>
      <c r="B103" s="155"/>
      <c r="C103" s="84"/>
      <c r="D103" s="109"/>
      <c r="F103" s="86">
        <f>B103</f>
        <v>0</v>
      </c>
      <c r="G103" s="153" t="s">
        <v>10</v>
      </c>
    </row>
    <row r="104" spans="1:12" ht="18" thickBot="1" x14ac:dyDescent="0.55000000000000004">
      <c r="A104" s="154"/>
      <c r="B104" s="155"/>
      <c r="C104" s="84"/>
      <c r="D104" s="120"/>
      <c r="F104" s="86">
        <f>B104</f>
        <v>0</v>
      </c>
      <c r="G104" s="153" t="s">
        <v>10</v>
      </c>
    </row>
    <row r="105" spans="1:12" ht="18" thickBot="1" x14ac:dyDescent="0.55000000000000004">
      <c r="A105" s="154"/>
      <c r="B105" s="155"/>
      <c r="C105" s="84"/>
      <c r="F105" s="86">
        <f>B105</f>
        <v>0</v>
      </c>
      <c r="G105" s="153" t="s">
        <v>10</v>
      </c>
    </row>
    <row r="106" spans="1:12" ht="18" thickBot="1" x14ac:dyDescent="0.55000000000000004">
      <c r="B106" s="87"/>
      <c r="E106" s="83" t="s">
        <v>3</v>
      </c>
      <c r="F106" s="111">
        <f>SUM(F102:F105)</f>
        <v>0</v>
      </c>
    </row>
    <row r="107" spans="1:12" x14ac:dyDescent="0.5">
      <c r="B107" s="87"/>
    </row>
    <row r="108" spans="1:12" ht="18" thickBot="1" x14ac:dyDescent="0.55000000000000004">
      <c r="A108" s="122" t="s">
        <v>235</v>
      </c>
      <c r="B108" s="87"/>
      <c r="L108" s="213"/>
    </row>
    <row r="109" spans="1:12" ht="18" thickBot="1" x14ac:dyDescent="0.55000000000000004">
      <c r="C109" s="83" t="s">
        <v>129</v>
      </c>
      <c r="E109" s="83" t="s">
        <v>130</v>
      </c>
      <c r="F109" s="81" t="s">
        <v>6</v>
      </c>
      <c r="L109" s="213"/>
    </row>
    <row r="110" spans="1:12" ht="18" thickBot="1" x14ac:dyDescent="0.55000000000000004">
      <c r="A110" s="83" t="s">
        <v>128</v>
      </c>
      <c r="B110" s="83" t="s">
        <v>117</v>
      </c>
      <c r="C110" s="83" t="s">
        <v>7</v>
      </c>
      <c r="D110" s="83" t="s">
        <v>126</v>
      </c>
      <c r="E110" s="83" t="s">
        <v>7</v>
      </c>
      <c r="F110" s="86" t="s">
        <v>117</v>
      </c>
    </row>
    <row r="111" spans="1:12" ht="18" thickBot="1" x14ac:dyDescent="0.55000000000000004">
      <c r="A111" s="83" t="s">
        <v>152</v>
      </c>
      <c r="B111" s="86">
        <v>30</v>
      </c>
      <c r="C111" s="92">
        <v>0</v>
      </c>
      <c r="D111" s="153" t="s">
        <v>10</v>
      </c>
      <c r="E111" s="92" t="str">
        <f>IF(D111="Si",(C111+0.2),IF(D111="Continue",(C111)," "))</f>
        <v xml:space="preserve"> </v>
      </c>
      <c r="F111" s="86" t="str">
        <f>IF(D111="Si",B111,IF(D111="Continue",5,""))</f>
        <v/>
      </c>
      <c r="G111" s="120"/>
    </row>
    <row r="112" spans="1:12" ht="18" thickBot="1" x14ac:dyDescent="0.55000000000000004">
      <c r="A112" s="83" t="s">
        <v>153</v>
      </c>
      <c r="B112" s="86">
        <v>30</v>
      </c>
      <c r="C112" s="92">
        <v>0</v>
      </c>
      <c r="D112" s="153" t="s">
        <v>10</v>
      </c>
      <c r="E112" s="92" t="str">
        <f t="shared" ref="E112:E119" si="15">IF(D112="Si",(C112+0.2),IF(D112="Continue",(C112)," "))</f>
        <v xml:space="preserve"> </v>
      </c>
      <c r="F112" s="86" t="str">
        <f t="shared" ref="F112:F119" si="16">IF(D112="Si",B112,IF(D112="Continue",5,""))</f>
        <v/>
      </c>
      <c r="G112" s="120"/>
    </row>
    <row r="113" spans="1:10" ht="18" thickBot="1" x14ac:dyDescent="0.55000000000000004">
      <c r="A113" s="83" t="s">
        <v>154</v>
      </c>
      <c r="B113" s="86">
        <v>30</v>
      </c>
      <c r="C113" s="92">
        <v>0</v>
      </c>
      <c r="D113" s="153" t="s">
        <v>10</v>
      </c>
      <c r="E113" s="92" t="str">
        <f t="shared" si="15"/>
        <v xml:space="preserve"> </v>
      </c>
      <c r="F113" s="86" t="str">
        <f t="shared" si="16"/>
        <v/>
      </c>
      <c r="G113" s="84"/>
    </row>
    <row r="114" spans="1:10" ht="18" thickBot="1" x14ac:dyDescent="0.55000000000000004">
      <c r="A114" s="83" t="s">
        <v>155</v>
      </c>
      <c r="B114" s="86">
        <v>30</v>
      </c>
      <c r="C114" s="92">
        <v>0</v>
      </c>
      <c r="D114" s="153" t="s">
        <v>10</v>
      </c>
      <c r="E114" s="92" t="str">
        <f t="shared" si="15"/>
        <v xml:space="preserve"> </v>
      </c>
      <c r="F114" s="86" t="str">
        <f t="shared" si="16"/>
        <v/>
      </c>
      <c r="G114" s="84"/>
    </row>
    <row r="115" spans="1:10" ht="18" thickBot="1" x14ac:dyDescent="0.55000000000000004">
      <c r="A115" s="83" t="s">
        <v>336</v>
      </c>
      <c r="B115" s="86">
        <v>40</v>
      </c>
      <c r="C115" s="92">
        <v>0.4</v>
      </c>
      <c r="D115" s="153" t="s">
        <v>10</v>
      </c>
      <c r="E115" s="92" t="str">
        <f t="shared" si="15"/>
        <v xml:space="preserve"> </v>
      </c>
      <c r="F115" s="86" t="str">
        <f t="shared" si="16"/>
        <v/>
      </c>
      <c r="G115" s="120"/>
    </row>
    <row r="116" spans="1:10" ht="18" thickBot="1" x14ac:dyDescent="0.55000000000000004">
      <c r="A116" s="83" t="s">
        <v>326</v>
      </c>
      <c r="B116" s="86">
        <v>40</v>
      </c>
      <c r="C116" s="92">
        <v>0.2</v>
      </c>
      <c r="D116" s="153" t="s">
        <v>10</v>
      </c>
      <c r="E116" s="92" t="str">
        <f t="shared" si="15"/>
        <v xml:space="preserve"> </v>
      </c>
      <c r="F116" s="86" t="str">
        <f t="shared" si="16"/>
        <v/>
      </c>
      <c r="G116" s="120"/>
      <c r="J116" s="209"/>
    </row>
    <row r="117" spans="1:10" ht="18" thickBot="1" x14ac:dyDescent="0.55000000000000004">
      <c r="A117" s="83" t="s">
        <v>156</v>
      </c>
      <c r="B117" s="86">
        <v>30</v>
      </c>
      <c r="C117" s="92">
        <v>0.4</v>
      </c>
      <c r="D117" s="153" t="s">
        <v>10</v>
      </c>
      <c r="E117" s="92" t="str">
        <f t="shared" si="15"/>
        <v xml:space="preserve"> </v>
      </c>
      <c r="F117" s="86" t="str">
        <f t="shared" si="16"/>
        <v/>
      </c>
      <c r="G117" s="120"/>
    </row>
    <row r="118" spans="1:10" ht="18" thickBot="1" x14ac:dyDescent="0.55000000000000004">
      <c r="A118" s="83" t="s">
        <v>157</v>
      </c>
      <c r="B118" s="86">
        <v>40</v>
      </c>
      <c r="C118" s="92">
        <v>0</v>
      </c>
      <c r="D118" s="153" t="s">
        <v>10</v>
      </c>
      <c r="E118" s="92" t="str">
        <f t="shared" si="15"/>
        <v xml:space="preserve"> </v>
      </c>
      <c r="F118" s="86" t="str">
        <f t="shared" si="16"/>
        <v/>
      </c>
      <c r="G118" s="84" t="str">
        <f t="shared" ref="G118" si="17">IF(D118="Continue","New roll to complete investment at current %"," ")</f>
        <v xml:space="preserve"> </v>
      </c>
    </row>
    <row r="119" spans="1:10" ht="18" thickBot="1" x14ac:dyDescent="0.55000000000000004">
      <c r="A119" s="83" t="s">
        <v>131</v>
      </c>
      <c r="B119" s="86">
        <v>40</v>
      </c>
      <c r="C119" s="92">
        <v>0</v>
      </c>
      <c r="D119" s="112" t="s">
        <v>10</v>
      </c>
      <c r="E119" s="92" t="str">
        <f t="shared" si="15"/>
        <v xml:space="preserve"> </v>
      </c>
      <c r="F119" s="86" t="str">
        <f t="shared" si="16"/>
        <v/>
      </c>
      <c r="G119" s="84"/>
    </row>
    <row r="120" spans="1:10" ht="18" thickBot="1" x14ac:dyDescent="0.55000000000000004">
      <c r="E120" s="123" t="s">
        <v>2</v>
      </c>
      <c r="F120" s="124">
        <f>SUM(F111:F118)</f>
        <v>0</v>
      </c>
      <c r="G120" s="84"/>
    </row>
    <row r="121" spans="1:10" ht="18" thickBot="1" x14ac:dyDescent="0.55000000000000004">
      <c r="D121" s="83"/>
      <c r="E121" s="125" t="s">
        <v>136</v>
      </c>
      <c r="F121" s="111">
        <f>H74-G90-F106-F120-F97</f>
        <v>363.38499999999999</v>
      </c>
    </row>
    <row r="123" spans="1:10" ht="18" thickBot="1" x14ac:dyDescent="0.55000000000000004">
      <c r="A123" s="113" t="s">
        <v>239</v>
      </c>
      <c r="B123" s="114"/>
      <c r="C123" s="114"/>
      <c r="D123" s="114"/>
      <c r="E123" s="114"/>
      <c r="F123" s="114"/>
      <c r="G123" s="114"/>
      <c r="H123" s="114"/>
      <c r="I123" s="114"/>
    </row>
    <row r="124" spans="1:10" ht="18" thickBot="1" x14ac:dyDescent="0.55000000000000004">
      <c r="A124" s="83" t="s">
        <v>132</v>
      </c>
      <c r="B124" s="83">
        <f>B72-E97</f>
        <v>0</v>
      </c>
      <c r="D124" s="83" t="s">
        <v>134</v>
      </c>
      <c r="E124" s="111">
        <f>F121</f>
        <v>363.38499999999999</v>
      </c>
    </row>
    <row r="125" spans="1:10" x14ac:dyDescent="0.5">
      <c r="A125" s="89"/>
      <c r="B125" s="121" t="str">
        <f>IF(B124&lt;0,"Not enough HI ava"," ")</f>
        <v xml:space="preserve"> </v>
      </c>
      <c r="D125" s="89"/>
      <c r="E125" s="91"/>
    </row>
    <row r="126" spans="1:10" ht="18" thickBot="1" x14ac:dyDescent="0.55000000000000004">
      <c r="B126" s="81" t="s">
        <v>124</v>
      </c>
    </row>
    <row r="127" spans="1:10" ht="18" thickBot="1" x14ac:dyDescent="0.55000000000000004">
      <c r="A127" s="83" t="s">
        <v>139</v>
      </c>
      <c r="B127" s="152">
        <v>0</v>
      </c>
    </row>
    <row r="128" spans="1:10" ht="18" thickBot="1" x14ac:dyDescent="0.55000000000000004">
      <c r="A128" s="83" t="s">
        <v>138</v>
      </c>
      <c r="B128" s="152">
        <v>0</v>
      </c>
    </row>
    <row r="129" spans="1:13" ht="18" thickBot="1" x14ac:dyDescent="0.55000000000000004">
      <c r="A129" s="83" t="s">
        <v>2</v>
      </c>
      <c r="B129" s="103">
        <f>B124-B127-B128</f>
        <v>0</v>
      </c>
      <c r="D129" s="81" t="str">
        <f>IF(B129&lt;0,"Total Exceeds ava HI points"," ")</f>
        <v xml:space="preserve"> </v>
      </c>
    </row>
    <row r="132" spans="1:13" ht="18" thickBot="1" x14ac:dyDescent="0.55000000000000004">
      <c r="A132" s="122" t="s">
        <v>139</v>
      </c>
    </row>
    <row r="133" spans="1:13" x14ac:dyDescent="0.5">
      <c r="A133" s="126" t="s">
        <v>140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233" t="s">
        <v>151</v>
      </c>
      <c r="L133" s="231" t="s">
        <v>117</v>
      </c>
    </row>
    <row r="134" spans="1:13" ht="18" thickBot="1" x14ac:dyDescent="0.55000000000000004">
      <c r="A134" s="128" t="s">
        <v>141</v>
      </c>
      <c r="B134" s="129">
        <f>B127*8</f>
        <v>0</v>
      </c>
      <c r="C134" s="129" t="s">
        <v>146</v>
      </c>
      <c r="D134" s="129" t="s">
        <v>148</v>
      </c>
      <c r="E134" s="129" t="s">
        <v>147</v>
      </c>
      <c r="F134" s="129" t="s">
        <v>148</v>
      </c>
      <c r="G134" s="129" t="s">
        <v>149</v>
      </c>
      <c r="H134" s="129" t="s">
        <v>148</v>
      </c>
      <c r="I134" s="129" t="s">
        <v>150</v>
      </c>
      <c r="J134" s="129" t="s">
        <v>148</v>
      </c>
      <c r="K134" s="234"/>
      <c r="L134" s="232"/>
    </row>
    <row r="135" spans="1:13" ht="18" thickBot="1" x14ac:dyDescent="0.55000000000000004">
      <c r="A135" s="83" t="s">
        <v>142</v>
      </c>
      <c r="B135" s="146" t="str">
        <f>IF(B127&gt;0, 8," ")</f>
        <v xml:space="preserve"> </v>
      </c>
      <c r="C135" s="152"/>
      <c r="D135" s="153"/>
      <c r="E135" s="152"/>
      <c r="F135" s="153"/>
      <c r="G135" s="152"/>
      <c r="H135" s="153"/>
      <c r="I135" s="152"/>
      <c r="J135" s="153"/>
      <c r="K135" s="83">
        <f>C135+E135+(G135*2)+(I135*4)</f>
        <v>0</v>
      </c>
      <c r="L135" s="111">
        <f>Data!Q3</f>
        <v>0</v>
      </c>
      <c r="M135" s="88" t="str">
        <f>IF(K135&gt;8,"Need to reduce number of weapons ordered"," ")</f>
        <v xml:space="preserve"> </v>
      </c>
    </row>
    <row r="136" spans="1:13" ht="18" thickBot="1" x14ac:dyDescent="0.55000000000000004">
      <c r="A136" s="83" t="s">
        <v>143</v>
      </c>
      <c r="B136" s="146" t="str">
        <f>IF(B127&gt;1,8," ")</f>
        <v xml:space="preserve"> </v>
      </c>
      <c r="C136" s="152"/>
      <c r="D136" s="153"/>
      <c r="E136" s="152"/>
      <c r="F136" s="153"/>
      <c r="G136" s="152"/>
      <c r="H136" s="153"/>
      <c r="I136" s="152"/>
      <c r="J136" s="153"/>
      <c r="K136" s="83">
        <f>C136+E136+(G136*2)+(I136*4)</f>
        <v>0</v>
      </c>
      <c r="L136" s="111">
        <f>Data!Q4</f>
        <v>0</v>
      </c>
      <c r="M136" s="88" t="str">
        <f t="shared" ref="M136:M138" si="18">IF(K136&gt;8,"Need to reduce number of weapons ordered"," ")</f>
        <v xml:space="preserve"> </v>
      </c>
    </row>
    <row r="137" spans="1:13" ht="18" thickBot="1" x14ac:dyDescent="0.55000000000000004">
      <c r="A137" s="83" t="s">
        <v>144</v>
      </c>
      <c r="B137" s="146" t="str">
        <f>IF(B127&gt;2,8," ")</f>
        <v xml:space="preserve"> </v>
      </c>
      <c r="C137" s="152"/>
      <c r="D137" s="153"/>
      <c r="E137" s="152"/>
      <c r="F137" s="153"/>
      <c r="G137" s="152"/>
      <c r="H137" s="153"/>
      <c r="I137" s="152"/>
      <c r="J137" s="153"/>
      <c r="K137" s="83">
        <f>C137+E137+(G137*2)+(I137*4)</f>
        <v>0</v>
      </c>
      <c r="L137" s="111">
        <f>Data!Q5</f>
        <v>0</v>
      </c>
      <c r="M137" s="88" t="str">
        <f t="shared" si="18"/>
        <v xml:space="preserve"> </v>
      </c>
    </row>
    <row r="138" spans="1:13" ht="18" thickBot="1" x14ac:dyDescent="0.55000000000000004">
      <c r="A138" s="83" t="s">
        <v>145</v>
      </c>
      <c r="B138" s="146" t="str">
        <f>IF(B127&gt;3,8," ")</f>
        <v xml:space="preserve"> </v>
      </c>
      <c r="C138" s="152"/>
      <c r="D138" s="153"/>
      <c r="E138" s="152"/>
      <c r="F138" s="153"/>
      <c r="G138" s="152"/>
      <c r="H138" s="153"/>
      <c r="I138" s="152"/>
      <c r="J138" s="153"/>
      <c r="K138" s="83">
        <f>C138+E138+(G138*2)+(I138*4)</f>
        <v>0</v>
      </c>
      <c r="L138" s="111">
        <f>Data!Q6</f>
        <v>0</v>
      </c>
      <c r="M138" s="88" t="str">
        <f t="shared" si="18"/>
        <v xml:space="preserve"> </v>
      </c>
    </row>
    <row r="139" spans="1:13" ht="18" thickBot="1" x14ac:dyDescent="0.55000000000000004">
      <c r="K139" s="83" t="s">
        <v>2</v>
      </c>
      <c r="L139" s="111">
        <f>SUM(L135:L138)</f>
        <v>0</v>
      </c>
    </row>
    <row r="140" spans="1:13" x14ac:dyDescent="0.5">
      <c r="A140" s="81" t="s">
        <v>6</v>
      </c>
    </row>
    <row r="141" spans="1:13" x14ac:dyDescent="0.5">
      <c r="B141" s="114"/>
      <c r="C141" s="114"/>
      <c r="D141" s="114"/>
      <c r="E141" s="114"/>
      <c r="F141" s="114"/>
      <c r="G141" s="114"/>
      <c r="H141" s="114"/>
      <c r="I141" s="114"/>
    </row>
    <row r="142" spans="1:13" ht="18" thickBot="1" x14ac:dyDescent="0.55000000000000004">
      <c r="A142" s="113" t="s">
        <v>163</v>
      </c>
      <c r="B142" s="130"/>
      <c r="C142" s="130"/>
      <c r="D142" s="130"/>
      <c r="E142" s="130"/>
      <c r="F142" s="89"/>
      <c r="G142" s="89"/>
    </row>
    <row r="143" spans="1:13" ht="18" thickBot="1" x14ac:dyDescent="0.55000000000000004">
      <c r="A143" s="235"/>
      <c r="B143" s="235"/>
      <c r="C143" s="130"/>
      <c r="D143" s="83" t="s">
        <v>158</v>
      </c>
      <c r="E143" s="83" t="s">
        <v>159</v>
      </c>
      <c r="F143" s="83" t="s">
        <v>160</v>
      </c>
      <c r="G143" s="83" t="s">
        <v>161</v>
      </c>
      <c r="H143" s="83" t="s">
        <v>117</v>
      </c>
      <c r="I143" s="83" t="s">
        <v>162</v>
      </c>
    </row>
    <row r="144" spans="1:13" ht="18" thickBot="1" x14ac:dyDescent="0.55000000000000004">
      <c r="A144" s="235"/>
      <c r="B144" s="235"/>
      <c r="C144" s="130"/>
      <c r="D144" s="156">
        <v>0</v>
      </c>
      <c r="E144" s="156">
        <v>0</v>
      </c>
      <c r="F144" s="156">
        <v>0</v>
      </c>
      <c r="G144" s="156">
        <v>0</v>
      </c>
      <c r="H144" s="86">
        <f>(D144*Data!Q17)+(Data!Q18*E144)+(F144*Data!Q17)+(G144*Data!Q17)</f>
        <v>0</v>
      </c>
      <c r="I144" s="83">
        <f>(D144+E144+F144+G144)*200000</f>
        <v>0</v>
      </c>
    </row>
    <row r="147" spans="1:9" x14ac:dyDescent="0.5">
      <c r="A147" s="114"/>
      <c r="B147" s="114"/>
      <c r="C147" s="114"/>
      <c r="D147" s="114"/>
      <c r="E147" s="114"/>
      <c r="F147" s="114"/>
      <c r="G147" s="114"/>
      <c r="H147" s="114"/>
      <c r="I147" s="114"/>
    </row>
    <row r="148" spans="1:9" ht="18" thickBot="1" x14ac:dyDescent="0.55000000000000004">
      <c r="A148" s="118" t="s">
        <v>138</v>
      </c>
    </row>
    <row r="149" spans="1:9" ht="18" thickBot="1" x14ac:dyDescent="0.55000000000000004">
      <c r="A149" s="83" t="s">
        <v>164</v>
      </c>
      <c r="B149" s="83">
        <f>B128*20</f>
        <v>0</v>
      </c>
    </row>
    <row r="150" spans="1:9" ht="18" thickBot="1" x14ac:dyDescent="0.55000000000000004"/>
    <row r="151" spans="1:9" x14ac:dyDescent="0.5">
      <c r="A151" s="126"/>
      <c r="B151" s="127"/>
      <c r="C151" s="127"/>
      <c r="D151" s="127"/>
      <c r="E151" s="127"/>
      <c r="F151" s="233" t="s">
        <v>168</v>
      </c>
      <c r="G151" s="131"/>
    </row>
    <row r="152" spans="1:9" ht="18" thickBot="1" x14ac:dyDescent="0.55000000000000004">
      <c r="A152" s="128" t="s">
        <v>165</v>
      </c>
      <c r="B152" s="129" t="s">
        <v>166</v>
      </c>
      <c r="C152" s="129" t="s">
        <v>123</v>
      </c>
      <c r="D152" s="129" t="s">
        <v>167</v>
      </c>
      <c r="E152" s="129" t="s">
        <v>148</v>
      </c>
      <c r="F152" s="234"/>
      <c r="G152" s="132" t="s">
        <v>117</v>
      </c>
    </row>
    <row r="153" spans="1:9" ht="18" thickBot="1" x14ac:dyDescent="0.55000000000000004">
      <c r="A153" s="153"/>
      <c r="B153" s="83" t="str">
        <f t="shared" ref="B153:B158" si="19">IF(A153&gt;" ",(VLOOKUP(A153,Ship_size,2,FALSE))," ")</f>
        <v xml:space="preserve"> </v>
      </c>
      <c r="C153" s="83" t="str">
        <f t="shared" ref="C153:C158" si="20">IF(A153&gt;" ",(VLOOKUP(A153,Ship_size,3,FALSE))," ")</f>
        <v xml:space="preserve"> </v>
      </c>
      <c r="D153" s="153"/>
      <c r="E153" s="153"/>
      <c r="F153" s="83">
        <f>IF(A153&gt;" ",(B153*D153),0)</f>
        <v>0</v>
      </c>
      <c r="G153" s="111">
        <f>IF(A153&gt;" ",(VLOOKUP(A153,Ship_size,Data!E40,FALSE)*D153),0)</f>
        <v>0</v>
      </c>
      <c r="H153" s="84"/>
    </row>
    <row r="154" spans="1:9" ht="18" thickBot="1" x14ac:dyDescent="0.55000000000000004">
      <c r="A154" s="153"/>
      <c r="B154" s="83" t="str">
        <f t="shared" si="19"/>
        <v xml:space="preserve"> </v>
      </c>
      <c r="C154" s="83" t="str">
        <f t="shared" si="20"/>
        <v xml:space="preserve"> </v>
      </c>
      <c r="D154" s="153"/>
      <c r="E154" s="153"/>
      <c r="F154" s="83">
        <f t="shared" ref="F154:F156" si="21">IF(A154&gt;" ",(B154*D154),0)</f>
        <v>0</v>
      </c>
      <c r="G154" s="111">
        <f>IF(A154&gt;" ",(VLOOKUP(A154,Ship_size,Data!E41,FALSE)*D154),0)</f>
        <v>0</v>
      </c>
      <c r="H154" s="84"/>
    </row>
    <row r="155" spans="1:9" ht="18" thickBot="1" x14ac:dyDescent="0.55000000000000004">
      <c r="A155" s="153"/>
      <c r="B155" s="83" t="str">
        <f t="shared" si="19"/>
        <v xml:space="preserve"> </v>
      </c>
      <c r="C155" s="83" t="str">
        <f t="shared" si="20"/>
        <v xml:space="preserve"> </v>
      </c>
      <c r="D155" s="153"/>
      <c r="E155" s="153"/>
      <c r="F155" s="83">
        <f t="shared" si="21"/>
        <v>0</v>
      </c>
      <c r="G155" s="111">
        <f>IF(A155&gt;" ",(VLOOKUP(A155,Ship_size,Data!E42,FALSE)*D155),0)</f>
        <v>0</v>
      </c>
      <c r="H155" s="84"/>
    </row>
    <row r="156" spans="1:9" ht="18" thickBot="1" x14ac:dyDescent="0.55000000000000004">
      <c r="A156" s="153"/>
      <c r="B156" s="83" t="str">
        <f t="shared" si="19"/>
        <v xml:space="preserve"> </v>
      </c>
      <c r="C156" s="83" t="str">
        <f t="shared" si="20"/>
        <v xml:space="preserve"> </v>
      </c>
      <c r="D156" s="153"/>
      <c r="E156" s="153"/>
      <c r="F156" s="83">
        <f t="shared" si="21"/>
        <v>0</v>
      </c>
      <c r="G156" s="111">
        <f>IF(A156&gt;" ",(VLOOKUP(A156,Ship_size,Data!E43,FALSE)*D156),0)</f>
        <v>0</v>
      </c>
      <c r="H156" s="84"/>
    </row>
    <row r="157" spans="1:9" ht="18" thickBot="1" x14ac:dyDescent="0.55000000000000004">
      <c r="A157" s="153"/>
      <c r="B157" s="83" t="str">
        <f t="shared" si="19"/>
        <v xml:space="preserve"> </v>
      </c>
      <c r="C157" s="83" t="str">
        <f t="shared" si="20"/>
        <v xml:space="preserve"> </v>
      </c>
      <c r="D157" s="153"/>
      <c r="E157" s="153"/>
      <c r="F157" s="83">
        <f t="shared" ref="F157:F158" si="22">IF(A157&gt;" ",(B157*D157),0)</f>
        <v>0</v>
      </c>
      <c r="G157" s="111">
        <f>IF(A157&gt;" ",(VLOOKUP(A157,Ship_size,Data!E44,FALSE)*D157),0)</f>
        <v>0</v>
      </c>
      <c r="H157" s="133"/>
    </row>
    <row r="158" spans="1:9" ht="18" thickBot="1" x14ac:dyDescent="0.55000000000000004">
      <c r="A158" s="153"/>
      <c r="B158" s="83" t="str">
        <f t="shared" si="19"/>
        <v xml:space="preserve"> </v>
      </c>
      <c r="C158" s="83" t="str">
        <f t="shared" si="20"/>
        <v xml:space="preserve"> </v>
      </c>
      <c r="D158" s="153"/>
      <c r="E158" s="153"/>
      <c r="F158" s="83">
        <f t="shared" si="22"/>
        <v>0</v>
      </c>
      <c r="G158" s="111">
        <f>IF(A158&gt;" ",(VLOOKUP(A158,Ship_size,Data!E45,FALSE)*D158),0)</f>
        <v>0</v>
      </c>
    </row>
    <row r="159" spans="1:9" ht="18" thickBot="1" x14ac:dyDescent="0.55000000000000004">
      <c r="C159" s="134" t="s">
        <v>6</v>
      </c>
      <c r="D159" s="135" t="s">
        <v>6</v>
      </c>
      <c r="E159" s="83" t="s">
        <v>2</v>
      </c>
      <c r="F159" s="83">
        <f>SUM(F153:F158)</f>
        <v>0</v>
      </c>
      <c r="G159" s="111">
        <f>SUM(G153:G158)</f>
        <v>0</v>
      </c>
      <c r="H159" s="88" t="str">
        <f>IF(F159&gt;B149,"Ship sizes used exceeds number of ship sizes ava"," ")</f>
        <v xml:space="preserve"> </v>
      </c>
    </row>
    <row r="161" spans="1:7" ht="18" thickBot="1" x14ac:dyDescent="0.55000000000000004">
      <c r="A161" s="81" t="s">
        <v>6</v>
      </c>
    </row>
    <row r="162" spans="1:7" x14ac:dyDescent="0.5">
      <c r="A162" s="126"/>
      <c r="B162" s="127"/>
      <c r="C162" s="127"/>
      <c r="D162" s="127"/>
      <c r="E162" s="127"/>
      <c r="F162" s="233"/>
      <c r="G162" s="131"/>
    </row>
    <row r="163" spans="1:7" ht="18" thickBot="1" x14ac:dyDescent="0.55000000000000004">
      <c r="A163" s="128" t="s">
        <v>175</v>
      </c>
      <c r="B163" s="129" t="s">
        <v>148</v>
      </c>
      <c r="C163" s="129" t="s">
        <v>167</v>
      </c>
      <c r="D163" s="136" t="s">
        <v>176</v>
      </c>
      <c r="E163" s="129"/>
      <c r="F163" s="234"/>
      <c r="G163" s="132"/>
    </row>
    <row r="164" spans="1:7" ht="18" thickBot="1" x14ac:dyDescent="0.55000000000000004">
      <c r="A164" s="83"/>
      <c r="B164" s="83"/>
      <c r="C164" s="83"/>
      <c r="D164" s="83"/>
    </row>
    <row r="165" spans="1:7" ht="18" thickBot="1" x14ac:dyDescent="0.55000000000000004">
      <c r="A165" s="83"/>
      <c r="B165" s="83"/>
      <c r="C165" s="83"/>
      <c r="D165" s="83"/>
    </row>
    <row r="166" spans="1:7" ht="18" thickBot="1" x14ac:dyDescent="0.55000000000000004">
      <c r="A166" s="83"/>
      <c r="B166" s="83"/>
      <c r="C166" s="83"/>
      <c r="D166" s="83"/>
    </row>
    <row r="167" spans="1:7" ht="18" thickBot="1" x14ac:dyDescent="0.55000000000000004">
      <c r="A167" s="83"/>
      <c r="B167" s="83"/>
      <c r="C167" s="83"/>
      <c r="D167" s="83"/>
    </row>
    <row r="168" spans="1:7" ht="18" thickBot="1" x14ac:dyDescent="0.55000000000000004">
      <c r="F168" s="83" t="s">
        <v>2</v>
      </c>
      <c r="G168" s="86">
        <v>0</v>
      </c>
    </row>
    <row r="170" spans="1:7" ht="18" thickBot="1" x14ac:dyDescent="0.55000000000000004">
      <c r="A170" s="137" t="s">
        <v>177</v>
      </c>
      <c r="B170" s="138"/>
      <c r="C170" s="138"/>
      <c r="D170" s="138"/>
      <c r="E170" s="138"/>
      <c r="F170" s="138"/>
      <c r="G170" s="138"/>
    </row>
    <row r="171" spans="1:7" ht="18" thickBot="1" x14ac:dyDescent="0.55000000000000004">
      <c r="A171" s="139" t="s">
        <v>179</v>
      </c>
      <c r="B171" s="139" t="s">
        <v>178</v>
      </c>
      <c r="C171" s="139" t="s">
        <v>117</v>
      </c>
    </row>
    <row r="172" spans="1:7" ht="18" thickBot="1" x14ac:dyDescent="0.55000000000000004">
      <c r="A172" s="157"/>
      <c r="B172" s="157"/>
      <c r="C172" s="111" t="str">
        <f>IF(B172&gt;0,(VLOOKUP(B172,MilitaryB_cost,2,FALSE))," ")</f>
        <v xml:space="preserve"> </v>
      </c>
    </row>
    <row r="173" spans="1:7" ht="18" thickBot="1" x14ac:dyDescent="0.55000000000000004">
      <c r="A173" s="157"/>
      <c r="B173" s="157"/>
      <c r="C173" s="111" t="str">
        <f>IF(B173&gt;0,(VLOOKUP(B173,MilitaryB_cost,2,FALSE))," ")</f>
        <v xml:space="preserve"> </v>
      </c>
    </row>
    <row r="174" spans="1:7" ht="18" thickBot="1" x14ac:dyDescent="0.55000000000000004">
      <c r="A174" s="157"/>
      <c r="B174" s="157"/>
      <c r="C174" s="111" t="str">
        <f>IF(B174&gt;0,(VLOOKUP(B174,MilitaryB_cost,2,FALSE))," ")</f>
        <v xml:space="preserve"> </v>
      </c>
    </row>
    <row r="175" spans="1:7" ht="18" thickBot="1" x14ac:dyDescent="0.55000000000000004">
      <c r="A175" s="157"/>
      <c r="B175" s="157"/>
      <c r="C175" s="111" t="str">
        <f>IF(B175&gt;0,(VLOOKUP(B175,MilitaryB_cost,2,FALSE))," ")</f>
        <v xml:space="preserve"> </v>
      </c>
    </row>
    <row r="176" spans="1:7" ht="18" thickBot="1" x14ac:dyDescent="0.55000000000000004">
      <c r="B176" s="83" t="s">
        <v>41</v>
      </c>
      <c r="C176" s="111">
        <f>SUM(C172:C175)</f>
        <v>0</v>
      </c>
    </row>
    <row r="179" spans="1:14" x14ac:dyDescent="0.5">
      <c r="B179" s="114"/>
      <c r="C179" s="114"/>
      <c r="D179" s="114"/>
      <c r="E179" s="114"/>
      <c r="F179" s="114"/>
      <c r="G179" s="114"/>
      <c r="H179" s="114"/>
      <c r="I179" s="114"/>
    </row>
    <row r="180" spans="1:14" ht="18" thickBot="1" x14ac:dyDescent="0.55000000000000004">
      <c r="A180" s="113" t="s">
        <v>180</v>
      </c>
    </row>
    <row r="181" spans="1:14" ht="18" thickBot="1" x14ac:dyDescent="0.55000000000000004">
      <c r="A181" s="221" t="s">
        <v>181</v>
      </c>
      <c r="B181" s="222"/>
      <c r="C181" s="222"/>
      <c r="D181" s="222"/>
      <c r="E181" s="222"/>
      <c r="F181" s="223"/>
      <c r="G181" s="140" t="s">
        <v>182</v>
      </c>
      <c r="N181" s="141"/>
    </row>
    <row r="182" spans="1:14" ht="19.5" customHeight="1" thickBot="1" x14ac:dyDescent="0.55000000000000004">
      <c r="A182" s="215"/>
      <c r="B182" s="216"/>
      <c r="C182" s="216"/>
      <c r="D182" s="216"/>
      <c r="E182" s="216"/>
      <c r="F182" s="217"/>
      <c r="G182" s="155"/>
    </row>
    <row r="183" spans="1:14" ht="18" thickBot="1" x14ac:dyDescent="0.55000000000000004">
      <c r="A183" s="215"/>
      <c r="B183" s="216"/>
      <c r="C183" s="216"/>
      <c r="D183" s="216"/>
      <c r="E183" s="216"/>
      <c r="F183" s="217"/>
      <c r="G183" s="155"/>
    </row>
    <row r="184" spans="1:14" ht="19.5" customHeight="1" thickBot="1" x14ac:dyDescent="0.55000000000000004">
      <c r="A184" s="215"/>
      <c r="B184" s="216"/>
      <c r="C184" s="216"/>
      <c r="D184" s="216"/>
      <c r="E184" s="216"/>
      <c r="F184" s="217"/>
      <c r="G184" s="155"/>
    </row>
    <row r="185" spans="1:14" ht="19.5" customHeight="1" thickBot="1" x14ac:dyDescent="0.55000000000000004">
      <c r="A185" s="215"/>
      <c r="B185" s="216"/>
      <c r="C185" s="216"/>
      <c r="D185" s="216"/>
      <c r="E185" s="216"/>
      <c r="F185" s="217"/>
      <c r="G185" s="155"/>
    </row>
    <row r="186" spans="1:14" ht="19.5" customHeight="1" thickBot="1" x14ac:dyDescent="0.55000000000000004">
      <c r="A186" s="215"/>
      <c r="B186" s="216"/>
      <c r="C186" s="216"/>
      <c r="D186" s="216"/>
      <c r="E186" s="216"/>
      <c r="F186" s="217"/>
      <c r="G186" s="155"/>
    </row>
    <row r="187" spans="1:14" ht="19.5" customHeight="1" thickBot="1" x14ac:dyDescent="0.55000000000000004">
      <c r="A187" s="215"/>
      <c r="B187" s="216"/>
      <c r="C187" s="216"/>
      <c r="D187" s="216"/>
      <c r="E187" s="216"/>
      <c r="F187" s="217"/>
      <c r="G187" s="155"/>
    </row>
    <row r="188" spans="1:14" ht="19.5" customHeight="1" thickBot="1" x14ac:dyDescent="0.55000000000000004">
      <c r="A188" s="215"/>
      <c r="B188" s="216"/>
      <c r="C188" s="216"/>
      <c r="D188" s="216"/>
      <c r="E188" s="216"/>
      <c r="F188" s="217"/>
      <c r="G188" s="155"/>
    </row>
    <row r="189" spans="1:14" ht="19.5" customHeight="1" thickBot="1" x14ac:dyDescent="0.55000000000000004">
      <c r="A189" s="215"/>
      <c r="B189" s="216"/>
      <c r="C189" s="216"/>
      <c r="D189" s="216"/>
      <c r="E189" s="216"/>
      <c r="F189" s="217"/>
      <c r="G189" s="155"/>
    </row>
    <row r="190" spans="1:14" ht="19.5" customHeight="1" thickBot="1" x14ac:dyDescent="0.55000000000000004">
      <c r="A190" s="215"/>
      <c r="B190" s="216"/>
      <c r="C190" s="216"/>
      <c r="D190" s="216"/>
      <c r="E190" s="216"/>
      <c r="F190" s="217"/>
      <c r="G190" s="155"/>
    </row>
    <row r="191" spans="1:14" ht="19.5" customHeight="1" thickBot="1" x14ac:dyDescent="0.55000000000000004">
      <c r="A191" s="215"/>
      <c r="B191" s="216"/>
      <c r="C191" s="216"/>
      <c r="D191" s="216"/>
      <c r="E191" s="216"/>
      <c r="F191" s="217"/>
      <c r="G191" s="155"/>
    </row>
    <row r="192" spans="1:14" ht="18" thickBot="1" x14ac:dyDescent="0.55000000000000004">
      <c r="A192" s="215"/>
      <c r="B192" s="216"/>
      <c r="C192" s="216"/>
      <c r="D192" s="216"/>
      <c r="E192" s="216"/>
      <c r="F192" s="217"/>
      <c r="G192" s="155"/>
    </row>
    <row r="193" spans="1:7" ht="18" thickBot="1" x14ac:dyDescent="0.55000000000000004">
      <c r="A193" s="218"/>
      <c r="B193" s="219"/>
      <c r="C193" s="219"/>
      <c r="D193" s="219"/>
      <c r="E193" s="219"/>
      <c r="F193" s="220"/>
      <c r="G193" s="155"/>
    </row>
    <row r="194" spans="1:7" ht="18" thickBot="1" x14ac:dyDescent="0.55000000000000004">
      <c r="A194" s="215"/>
      <c r="B194" s="216"/>
      <c r="C194" s="216"/>
      <c r="D194" s="216"/>
      <c r="E194" s="216"/>
      <c r="F194" s="217"/>
      <c r="G194" s="158"/>
    </row>
    <row r="195" spans="1:7" ht="18" thickBot="1" x14ac:dyDescent="0.55000000000000004">
      <c r="A195" s="215"/>
      <c r="B195" s="216"/>
      <c r="C195" s="216"/>
      <c r="D195" s="216"/>
      <c r="E195" s="216"/>
      <c r="F195" s="217"/>
      <c r="G195" s="158"/>
    </row>
    <row r="196" spans="1:7" ht="18" thickBot="1" x14ac:dyDescent="0.55000000000000004">
      <c r="A196" s="228"/>
      <c r="B196" s="229"/>
      <c r="C196" s="229"/>
      <c r="D196" s="229"/>
      <c r="E196" s="229"/>
      <c r="F196" s="230"/>
      <c r="G196" s="158"/>
    </row>
    <row r="197" spans="1:7" ht="18" thickBot="1" x14ac:dyDescent="0.55000000000000004">
      <c r="A197" s="215"/>
      <c r="B197" s="216"/>
      <c r="C197" s="216"/>
      <c r="D197" s="216"/>
      <c r="E197" s="216"/>
      <c r="F197" s="217"/>
      <c r="G197" s="155"/>
    </row>
    <row r="198" spans="1:7" ht="18" thickBot="1" x14ac:dyDescent="0.55000000000000004">
      <c r="A198" s="215"/>
      <c r="B198" s="216"/>
      <c r="C198" s="216"/>
      <c r="D198" s="216"/>
      <c r="E198" s="216"/>
      <c r="F198" s="217"/>
      <c r="G198" s="155"/>
    </row>
    <row r="199" spans="1:7" ht="18" thickBot="1" x14ac:dyDescent="0.55000000000000004">
      <c r="A199" s="228"/>
      <c r="B199" s="229"/>
      <c r="C199" s="229"/>
      <c r="D199" s="229"/>
      <c r="E199" s="229"/>
      <c r="F199" s="230"/>
      <c r="G199" s="155"/>
    </row>
    <row r="200" spans="1:7" ht="18" thickBot="1" x14ac:dyDescent="0.55000000000000004">
      <c r="A200" s="215"/>
      <c r="B200" s="229"/>
      <c r="C200" s="229"/>
      <c r="D200" s="229"/>
      <c r="E200" s="229"/>
      <c r="F200" s="230"/>
      <c r="G200" s="155"/>
    </row>
    <row r="201" spans="1:7" ht="41.25" customHeight="1" thickBot="1" x14ac:dyDescent="0.55000000000000004"/>
    <row r="202" spans="1:7" ht="18" thickBot="1" x14ac:dyDescent="0.55000000000000004">
      <c r="F202" s="83" t="s">
        <v>2</v>
      </c>
      <c r="G202" s="111">
        <f>SUM(G182:G200)</f>
        <v>0</v>
      </c>
    </row>
    <row r="203" spans="1:7" ht="18" thickBot="1" x14ac:dyDescent="0.55000000000000004"/>
    <row r="204" spans="1:7" ht="18" thickBot="1" x14ac:dyDescent="0.55000000000000004">
      <c r="E204" s="221" t="s">
        <v>108</v>
      </c>
      <c r="F204" s="223"/>
      <c r="G204" s="111">
        <f>E124-L139-H144-G159-G168-C176-G202</f>
        <v>363.38499999999999</v>
      </c>
    </row>
  </sheetData>
  <sheetProtection algorithmName="SHA-512" hashValue="ZXGAS809145UoATAY7BelIjUufZPggoEym3b14I316xdw98DcY6NBtJzyqYrdwAn67O1qZhO7/90ZlAPz8c3mw==" saltValue="B/6Qq5+0fexw2tvhMdINmA==" spinCount="100000" sheet="1" objects="1" scenarios="1"/>
  <dataConsolidate/>
  <mergeCells count="51"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  <mergeCell ref="E79:E80"/>
    <mergeCell ref="L133:L134"/>
    <mergeCell ref="H79:H80"/>
    <mergeCell ref="K133:K134"/>
    <mergeCell ref="A192:F192"/>
    <mergeCell ref="A183:F183"/>
    <mergeCell ref="F151:F152"/>
    <mergeCell ref="F162:F163"/>
    <mergeCell ref="A191:F191"/>
    <mergeCell ref="A143:B144"/>
    <mergeCell ref="A79:A80"/>
    <mergeCell ref="D79:D80"/>
    <mergeCell ref="C79:C80"/>
    <mergeCell ref="B79:B80"/>
    <mergeCell ref="A198:F198"/>
    <mergeCell ref="A199:F199"/>
    <mergeCell ref="A195:F195"/>
    <mergeCell ref="A196:F196"/>
    <mergeCell ref="E204:F204"/>
    <mergeCell ref="A200:F200"/>
    <mergeCell ref="A1:P1"/>
    <mergeCell ref="A76:P76"/>
    <mergeCell ref="A194:F194"/>
    <mergeCell ref="A197:F197"/>
    <mergeCell ref="A193:F193"/>
    <mergeCell ref="A181:F181"/>
    <mergeCell ref="A182:F182"/>
    <mergeCell ref="A185:F185"/>
    <mergeCell ref="A188:F188"/>
    <mergeCell ref="A190:F190"/>
    <mergeCell ref="A189:F189"/>
    <mergeCell ref="A184:F184"/>
    <mergeCell ref="A186:F186"/>
    <mergeCell ref="A187:F187"/>
    <mergeCell ref="G79:G80"/>
    <mergeCell ref="F79:F80"/>
  </mergeCells>
  <phoneticPr fontId="14" type="noConversion"/>
  <dataValidations count="7">
    <dataValidation type="list" showInputMessage="1" showErrorMessage="1" sqref="D93:D96 G102:G105" xr:uid="{00000000-0002-0000-0000-000000000000}">
      <formula1>Yes_No</formula1>
    </dataValidation>
    <dataValidation type="list" showInputMessage="1" showErrorMessage="1" sqref="D135:D138 F135:F138 H135:H138 J135:J138 B164:B167 E153:E158" xr:uid="{00000000-0002-0000-0000-000001000000}">
      <formula1>Weapon_Quality</formula1>
    </dataValidation>
    <dataValidation type="list" showInputMessage="1" showErrorMessage="1" sqref="A164:A167 A153:A158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11:D119 D81:D89" xr:uid="{00000000-0002-0000-0000-000005000000}">
      <formula1>Invest_option</formula1>
    </dataValidation>
    <dataValidation type="list" showInputMessage="1" showErrorMessage="1" sqref="B172:B175" xr:uid="{00000000-0002-0000-0000-000003000000}">
      <formula1>Mil_Buildings</formula1>
    </dataValidation>
    <dataValidation showInputMessage="1" showErrorMessage="1" sqref="H81:H89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108ECA7-21BA-44BA-9BFC-194FD0CB5C9B}">
          <x14:formula1>
            <xm:f>Ferrocarriles!$F$5:$F$14</xm:f>
          </x14:formula1>
          <xm:sqref>A93 A95:A96</xm:sqref>
        </x14:dataValidation>
        <x14:dataValidation type="list" allowBlank="1" showInputMessage="1" showErrorMessage="1" xr:uid="{777397DC-B9A5-4C48-92AC-7171A964F005}">
          <x14:formula1>
            <xm:f>Ferrocarriles!$F$5:$F$15</xm:f>
          </x14:formula1>
          <xm:sqref>A94</xm:sqref>
        </x14:dataValidation>
        <x14:dataValidation type="list" allowBlank="1" showInputMessage="1" showErrorMessage="1" xr:uid="{FB15DC30-49BB-486D-ABA6-273A97CE797D}">
          <x14:formula1>
            <xm:f>Colonias!$B$37:$B$63</xm:f>
          </x14:formula1>
          <xm:sqref>A85:A89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5"/>
  <sheetViews>
    <sheetView showGridLines="0" workbookViewId="0"/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54" t="s">
        <v>188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5" spans="1:20" ht="15.75" thickBot="1" x14ac:dyDescent="0.5">
      <c r="A5" s="80" t="s">
        <v>189</v>
      </c>
    </row>
    <row r="6" spans="1:20" ht="15.75" thickBot="1" x14ac:dyDescent="0.5">
      <c r="A6" s="50"/>
      <c r="B6" s="280" t="s">
        <v>158</v>
      </c>
      <c r="C6" s="280" t="s">
        <v>148</v>
      </c>
      <c r="D6" s="280" t="s">
        <v>187</v>
      </c>
      <c r="E6" s="280" t="s">
        <v>148</v>
      </c>
      <c r="F6" s="280" t="s">
        <v>147</v>
      </c>
      <c r="G6" s="280" t="s">
        <v>148</v>
      </c>
      <c r="H6" s="280" t="s">
        <v>149</v>
      </c>
      <c r="I6" s="280" t="s">
        <v>148</v>
      </c>
      <c r="J6" s="280" t="s">
        <v>150</v>
      </c>
      <c r="K6" s="278" t="s">
        <v>148</v>
      </c>
      <c r="N6" s="255" t="s">
        <v>190</v>
      </c>
      <c r="O6" s="255"/>
      <c r="P6" s="255"/>
    </row>
    <row r="7" spans="1:20" ht="15.75" thickBot="1" x14ac:dyDescent="0.5">
      <c r="A7" s="51" t="s">
        <v>179</v>
      </c>
      <c r="B7" s="281"/>
      <c r="C7" s="281"/>
      <c r="D7" s="281"/>
      <c r="E7" s="281"/>
      <c r="F7" s="281"/>
      <c r="G7" s="281"/>
      <c r="H7" s="281"/>
      <c r="I7" s="281"/>
      <c r="J7" s="281"/>
      <c r="K7" s="279"/>
      <c r="N7" s="7"/>
      <c r="O7" s="49" t="s">
        <v>117</v>
      </c>
      <c r="P7" s="49" t="s">
        <v>192</v>
      </c>
    </row>
    <row r="8" spans="1:20" ht="15.75" thickBot="1" x14ac:dyDescent="0.5">
      <c r="A8" s="174" t="s">
        <v>244</v>
      </c>
      <c r="B8" s="174">
        <v>4</v>
      </c>
      <c r="C8" s="174" t="s">
        <v>23</v>
      </c>
      <c r="D8" s="174">
        <v>10</v>
      </c>
      <c r="E8" s="174" t="s">
        <v>23</v>
      </c>
      <c r="F8" s="174">
        <v>3</v>
      </c>
      <c r="G8" s="174" t="s">
        <v>23</v>
      </c>
      <c r="H8" s="174">
        <v>3</v>
      </c>
      <c r="I8" s="174" t="s">
        <v>23</v>
      </c>
      <c r="J8" s="174">
        <v>1</v>
      </c>
      <c r="K8" s="174" t="s">
        <v>23</v>
      </c>
      <c r="N8" s="49" t="s">
        <v>191</v>
      </c>
      <c r="O8" s="7"/>
      <c r="P8" s="52">
        <f>B37/1000000</f>
        <v>4.4000000000000004</v>
      </c>
    </row>
    <row r="9" spans="1:20" ht="15.75" thickBot="1" x14ac:dyDescent="0.5">
      <c r="A9" s="174" t="s">
        <v>248</v>
      </c>
      <c r="B9" s="174">
        <v>2</v>
      </c>
      <c r="C9" s="174" t="s">
        <v>23</v>
      </c>
      <c r="D9" s="174"/>
      <c r="E9" s="174"/>
      <c r="F9" s="174">
        <v>2</v>
      </c>
      <c r="G9" s="174" t="s">
        <v>23</v>
      </c>
      <c r="H9" s="174">
        <v>1</v>
      </c>
      <c r="I9" s="174" t="s">
        <v>23</v>
      </c>
      <c r="J9" s="174">
        <v>0</v>
      </c>
      <c r="K9" s="174"/>
      <c r="N9" s="49" t="s">
        <v>138</v>
      </c>
      <c r="O9" s="53">
        <f>B65</f>
        <v>75</v>
      </c>
      <c r="P9" s="49">
        <f>B66</f>
        <v>1.5</v>
      </c>
    </row>
    <row r="10" spans="1:20" ht="15.75" thickBot="1" x14ac:dyDescent="0.5">
      <c r="A10" s="174" t="s">
        <v>278</v>
      </c>
      <c r="B10" s="174">
        <v>1</v>
      </c>
      <c r="C10" s="174" t="s">
        <v>23</v>
      </c>
      <c r="D10" s="174"/>
      <c r="E10" s="174"/>
      <c r="F10" s="174"/>
      <c r="G10" s="174"/>
      <c r="H10" s="174"/>
      <c r="I10" s="174"/>
      <c r="J10" s="174"/>
      <c r="K10" s="174"/>
      <c r="N10" s="7"/>
      <c r="O10" s="54"/>
      <c r="P10" s="7"/>
    </row>
    <row r="11" spans="1:20" ht="15.75" thickBot="1" x14ac:dyDescent="0.5">
      <c r="A11" s="174" t="s">
        <v>247</v>
      </c>
      <c r="B11" s="174">
        <v>3</v>
      </c>
      <c r="C11" s="174" t="s">
        <v>23</v>
      </c>
      <c r="D11" s="174"/>
      <c r="E11" s="174"/>
      <c r="F11" s="174"/>
      <c r="G11" s="174"/>
      <c r="H11" s="174">
        <v>1</v>
      </c>
      <c r="I11" s="174" t="s">
        <v>23</v>
      </c>
      <c r="J11" s="174"/>
      <c r="K11" s="174"/>
      <c r="N11" s="49" t="s">
        <v>193</v>
      </c>
      <c r="O11" s="53">
        <f>B102</f>
        <v>109</v>
      </c>
      <c r="P11" s="7"/>
    </row>
    <row r="12" spans="1:20" ht="15.75" thickBot="1" x14ac:dyDescent="0.5">
      <c r="A12" s="174" t="s">
        <v>284</v>
      </c>
      <c r="B12" s="174">
        <v>1</v>
      </c>
      <c r="C12" s="174" t="s">
        <v>23</v>
      </c>
      <c r="D12" s="174"/>
      <c r="E12" s="174"/>
      <c r="F12" s="174"/>
      <c r="G12" s="174"/>
      <c r="H12" s="174"/>
      <c r="I12" s="174"/>
      <c r="J12" s="174"/>
      <c r="K12" s="174"/>
      <c r="N12" s="49" t="s">
        <v>43</v>
      </c>
      <c r="O12" s="53">
        <f>SUM(O9:O11)</f>
        <v>184</v>
      </c>
      <c r="P12" s="52">
        <f>P8+P9</f>
        <v>5.9</v>
      </c>
    </row>
    <row r="13" spans="1:20" ht="15.75" thickBot="1" x14ac:dyDescent="0.5">
      <c r="A13" s="174" t="s">
        <v>288</v>
      </c>
      <c r="B13" s="174" t="s">
        <v>289</v>
      </c>
      <c r="C13" s="174"/>
      <c r="D13" s="174"/>
      <c r="E13" s="174"/>
      <c r="F13" s="174"/>
      <c r="G13" s="174"/>
      <c r="H13" s="174"/>
      <c r="I13" s="174"/>
      <c r="J13" s="174"/>
      <c r="K13" s="174"/>
      <c r="N13" s="35"/>
      <c r="O13" s="15"/>
      <c r="P13" s="16"/>
    </row>
    <row r="14" spans="1:20" ht="15.75" thickBot="1" x14ac:dyDescent="0.5">
      <c r="A14" s="174" t="s">
        <v>290</v>
      </c>
      <c r="B14" s="174" t="s">
        <v>289</v>
      </c>
      <c r="C14" s="174"/>
      <c r="D14" s="174"/>
      <c r="E14" s="174"/>
      <c r="F14" s="174"/>
      <c r="G14" s="174"/>
      <c r="H14" s="174"/>
      <c r="I14" s="174"/>
      <c r="J14" s="174"/>
      <c r="K14" s="174"/>
      <c r="L14" s="44"/>
      <c r="N14" s="35"/>
      <c r="O14" s="15"/>
      <c r="P14" s="16"/>
    </row>
    <row r="15" spans="1:20" ht="15.75" thickBot="1" x14ac:dyDescent="0.5">
      <c r="A15" s="174" t="s">
        <v>291</v>
      </c>
      <c r="B15" s="174" t="s">
        <v>289</v>
      </c>
      <c r="C15" s="174"/>
      <c r="D15" s="174"/>
      <c r="E15" s="174"/>
      <c r="F15" s="174"/>
      <c r="G15" s="174"/>
      <c r="H15" s="174"/>
      <c r="I15" s="174"/>
      <c r="J15" s="174"/>
      <c r="K15" s="174"/>
      <c r="N15" s="35"/>
      <c r="O15" s="15"/>
      <c r="P15" s="16"/>
    </row>
    <row r="16" spans="1:20" ht="15.75" thickBot="1" x14ac:dyDescent="0.5">
      <c r="A16" s="174" t="s">
        <v>292</v>
      </c>
      <c r="B16" s="174" t="s">
        <v>289</v>
      </c>
      <c r="C16" s="174"/>
      <c r="D16" s="174"/>
      <c r="E16" s="174"/>
      <c r="F16" s="174"/>
      <c r="G16" s="174"/>
      <c r="H16" s="174"/>
      <c r="I16" s="174"/>
      <c r="J16" s="174"/>
      <c r="K16" s="174"/>
      <c r="M16" s="282" t="s">
        <v>305</v>
      </c>
      <c r="N16" s="282"/>
      <c r="O16" s="282"/>
      <c r="P16" s="282"/>
    </row>
    <row r="17" spans="1:18" ht="15.75" thickBot="1" x14ac:dyDescent="0.5">
      <c r="A17" s="174" t="s">
        <v>293</v>
      </c>
      <c r="B17" s="174" t="s">
        <v>289</v>
      </c>
      <c r="C17" s="174" t="s">
        <v>23</v>
      </c>
      <c r="D17" s="174"/>
      <c r="E17" s="174"/>
      <c r="F17" s="174"/>
      <c r="G17" s="174"/>
      <c r="H17" s="174"/>
      <c r="I17" s="174"/>
      <c r="J17" s="174"/>
      <c r="K17" s="174"/>
      <c r="M17" s="283" t="s">
        <v>296</v>
      </c>
      <c r="N17" s="283" t="s">
        <v>306</v>
      </c>
      <c r="O17" s="283" t="s">
        <v>200</v>
      </c>
      <c r="P17" s="283" t="s">
        <v>297</v>
      </c>
    </row>
    <row r="18" spans="1:18" ht="15.75" thickBot="1" x14ac:dyDescent="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M18" s="283"/>
      <c r="N18" s="283"/>
      <c r="O18" s="283"/>
      <c r="P18" s="283"/>
    </row>
    <row r="19" spans="1:18" ht="15.75" thickBot="1" x14ac:dyDescent="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M19" s="202" t="s">
        <v>248</v>
      </c>
      <c r="N19" s="202" t="s">
        <v>308</v>
      </c>
      <c r="O19" s="202" t="s">
        <v>309</v>
      </c>
      <c r="P19" s="203" t="s">
        <v>294</v>
      </c>
    </row>
    <row r="20" spans="1:18" ht="15.75" thickBo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M20" s="202" t="s">
        <v>278</v>
      </c>
      <c r="N20" s="202" t="s">
        <v>298</v>
      </c>
      <c r="O20" s="202" t="s">
        <v>298</v>
      </c>
      <c r="P20" s="203" t="s">
        <v>307</v>
      </c>
    </row>
    <row r="21" spans="1:18" ht="15.75" thickBot="1" x14ac:dyDescent="0.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M21" s="202" t="s">
        <v>299</v>
      </c>
      <c r="N21" s="202" t="s">
        <v>300</v>
      </c>
      <c r="O21" s="202" t="s">
        <v>300</v>
      </c>
      <c r="P21" s="203" t="s">
        <v>307</v>
      </c>
    </row>
    <row r="22" spans="1:18" ht="15.75" thickBot="1" x14ac:dyDescent="0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M22" s="202" t="s">
        <v>301</v>
      </c>
      <c r="N22" s="202" t="s">
        <v>298</v>
      </c>
      <c r="O22" s="201"/>
      <c r="P22" s="203" t="s">
        <v>294</v>
      </c>
    </row>
    <row r="23" spans="1:18" ht="15.75" thickBot="1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M23" s="202" t="s">
        <v>302</v>
      </c>
      <c r="N23" s="202" t="s">
        <v>303</v>
      </c>
      <c r="O23" s="202" t="s">
        <v>304</v>
      </c>
      <c r="P23" s="203" t="s">
        <v>310</v>
      </c>
    </row>
    <row r="24" spans="1:18" ht="15.75" thickBot="1" x14ac:dyDescent="0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4"/>
      <c r="M24" s="20" t="s">
        <v>287</v>
      </c>
      <c r="N24" s="35" t="s">
        <v>300</v>
      </c>
      <c r="O24" s="15" t="s">
        <v>300</v>
      </c>
      <c r="P24" s="203" t="s">
        <v>307</v>
      </c>
    </row>
    <row r="25" spans="1:18" ht="15.75" thickBot="1" x14ac:dyDescent="0.5">
      <c r="A25" s="49" t="s">
        <v>41</v>
      </c>
      <c r="B25" s="49">
        <f>SUM(B8:B24)</f>
        <v>11</v>
      </c>
      <c r="C25" s="7"/>
      <c r="D25" s="49">
        <f>SUM(D8:D24)</f>
        <v>10</v>
      </c>
      <c r="E25" s="7"/>
      <c r="F25" s="49">
        <f>SUM(F8:F24)</f>
        <v>5</v>
      </c>
      <c r="G25" s="7"/>
      <c r="H25" s="49">
        <f>SUM(H8:H24)</f>
        <v>5</v>
      </c>
      <c r="I25" s="7"/>
      <c r="J25" s="49">
        <f>SUM(J8:J24)</f>
        <v>1</v>
      </c>
      <c r="K25" s="7"/>
    </row>
    <row r="27" spans="1:18" ht="15.75" thickBot="1" x14ac:dyDescent="0.5"/>
    <row r="28" spans="1:18" ht="16.149999999999999" thickTop="1" thickBot="1" x14ac:dyDescent="0.5">
      <c r="A28" s="55" t="s">
        <v>194</v>
      </c>
      <c r="B28" s="49" t="s">
        <v>294</v>
      </c>
      <c r="C28" s="45"/>
      <c r="D28" s="163"/>
      <c r="E28" s="161"/>
      <c r="F28" s="162" t="s">
        <v>210</v>
      </c>
      <c r="G28" s="53">
        <f>B25+D25+H25+J25</f>
        <v>27</v>
      </c>
      <c r="I28" s="55" t="s">
        <v>108</v>
      </c>
      <c r="J28" s="59">
        <f>Econ!G204</f>
        <v>363.38499999999999</v>
      </c>
    </row>
    <row r="29" spans="1:18" ht="16.149999999999999" thickTop="1" thickBot="1" x14ac:dyDescent="0.5">
      <c r="A29" s="49" t="s">
        <v>195</v>
      </c>
      <c r="B29" s="49" t="s">
        <v>120</v>
      </c>
    </row>
    <row r="30" spans="1:18" ht="15.75" thickBot="1" x14ac:dyDescent="0.5">
      <c r="A30" s="56" t="s">
        <v>196</v>
      </c>
      <c r="B30" s="57" t="s">
        <v>295</v>
      </c>
      <c r="E30" s="255" t="s">
        <v>197</v>
      </c>
      <c r="F30" s="255"/>
      <c r="G30" s="255"/>
      <c r="H30" s="255"/>
      <c r="I30" s="255"/>
      <c r="J30" s="255"/>
      <c r="K30" s="255"/>
    </row>
    <row r="31" spans="1:18" ht="15.75" thickBot="1" x14ac:dyDescent="0.5">
      <c r="A31" s="44"/>
      <c r="B31" s="44"/>
      <c r="C31" s="44"/>
      <c r="E31" s="255" t="s">
        <v>61</v>
      </c>
      <c r="F31" s="255"/>
      <c r="G31" s="255"/>
      <c r="H31" s="49" t="s">
        <v>117</v>
      </c>
      <c r="I31" s="255" t="s">
        <v>198</v>
      </c>
      <c r="J31" s="255"/>
      <c r="K31" s="255"/>
    </row>
    <row r="32" spans="1:18" ht="15.75" thickBot="1" x14ac:dyDescent="0.5">
      <c r="A32" s="44"/>
      <c r="B32" s="44"/>
      <c r="C32" s="44"/>
      <c r="E32" s="262"/>
      <c r="F32" s="263"/>
      <c r="G32" s="264"/>
      <c r="H32" s="166"/>
      <c r="I32" s="262"/>
      <c r="J32" s="263"/>
      <c r="K32" s="264"/>
      <c r="R32" s="44"/>
    </row>
    <row r="33" spans="1:16" ht="15.75" thickBot="1" x14ac:dyDescent="0.5">
      <c r="A33" s="44"/>
      <c r="E33" s="262"/>
      <c r="F33" s="263"/>
      <c r="G33" s="264"/>
      <c r="H33" s="166"/>
      <c r="I33" s="262"/>
      <c r="J33" s="263"/>
      <c r="K33" s="264"/>
    </row>
    <row r="34" spans="1:16" ht="16.149999999999999" thickTop="1" thickBot="1" x14ac:dyDescent="0.5">
      <c r="A34" s="55" t="s">
        <v>6</v>
      </c>
      <c r="B34" s="55" t="s">
        <v>162</v>
      </c>
      <c r="C34" s="20" t="s">
        <v>6</v>
      </c>
      <c r="E34" s="262"/>
      <c r="F34" s="263"/>
      <c r="G34" s="264"/>
      <c r="H34" s="166"/>
      <c r="I34" s="262"/>
      <c r="J34" s="263"/>
      <c r="K34" s="264"/>
    </row>
    <row r="35" spans="1:16" ht="16.149999999999999" thickTop="1" thickBot="1" x14ac:dyDescent="0.5">
      <c r="A35" s="55" t="s">
        <v>199</v>
      </c>
      <c r="B35" s="60">
        <f>(B25+H25+J25)*200000</f>
        <v>3400000</v>
      </c>
      <c r="E35" s="262"/>
      <c r="F35" s="263"/>
      <c r="G35" s="264"/>
      <c r="H35" s="166"/>
      <c r="I35" s="262"/>
      <c r="J35" s="263"/>
      <c r="K35" s="264"/>
    </row>
    <row r="36" spans="1:16" ht="16.149999999999999" thickTop="1" thickBot="1" x14ac:dyDescent="0.5">
      <c r="A36" s="55" t="s">
        <v>200</v>
      </c>
      <c r="B36" s="60">
        <f>D25*100000</f>
        <v>1000000</v>
      </c>
      <c r="E36" s="20" t="s">
        <v>6</v>
      </c>
      <c r="F36" s="20" t="s">
        <v>6</v>
      </c>
      <c r="G36" s="49" t="s">
        <v>41</v>
      </c>
      <c r="H36" s="53">
        <f>SUM(H32:H35)</f>
        <v>0</v>
      </c>
    </row>
    <row r="37" spans="1:16" ht="16.149999999999999" thickTop="1" thickBot="1" x14ac:dyDescent="0.5">
      <c r="A37" s="55" t="s">
        <v>2</v>
      </c>
      <c r="B37" s="60">
        <f>SUM(B35:B36)</f>
        <v>4400000</v>
      </c>
    </row>
    <row r="38" spans="1:16" ht="16.149999999999999" thickTop="1" thickBot="1" x14ac:dyDescent="0.5"/>
    <row r="39" spans="1:16" ht="15.75" thickBot="1" x14ac:dyDescent="0.5">
      <c r="G39" s="255" t="s">
        <v>201</v>
      </c>
      <c r="H39" s="255"/>
      <c r="I39" s="255"/>
      <c r="J39" s="255"/>
    </row>
    <row r="40" spans="1:16" ht="15.75" thickBot="1" x14ac:dyDescent="0.5">
      <c r="G40" s="49" t="s">
        <v>58</v>
      </c>
      <c r="H40" s="49" t="s">
        <v>149</v>
      </c>
      <c r="I40" s="49" t="s">
        <v>150</v>
      </c>
      <c r="J40" s="49" t="s">
        <v>147</v>
      </c>
    </row>
    <row r="41" spans="1:16" ht="15.75" thickBot="1" x14ac:dyDescent="0.5">
      <c r="F41" s="46" t="s">
        <v>202</v>
      </c>
      <c r="G41" s="61">
        <v>4</v>
      </c>
      <c r="H41" s="61">
        <v>8</v>
      </c>
      <c r="I41" s="61">
        <v>16</v>
      </c>
      <c r="J41" s="61">
        <v>1</v>
      </c>
    </row>
    <row r="42" spans="1:16" ht="15.75" thickBot="1" x14ac:dyDescent="0.5">
      <c r="F42" s="46" t="s">
        <v>203</v>
      </c>
      <c r="G42" s="61">
        <v>8</v>
      </c>
      <c r="H42" s="61">
        <v>16</v>
      </c>
      <c r="I42" s="61">
        <v>32</v>
      </c>
      <c r="J42" s="61">
        <v>2</v>
      </c>
    </row>
    <row r="43" spans="1:16" ht="15.75" thickBot="1" x14ac:dyDescent="0.5">
      <c r="F43" s="46" t="s">
        <v>204</v>
      </c>
      <c r="G43" s="61">
        <v>16</v>
      </c>
      <c r="H43" s="61">
        <v>32</v>
      </c>
      <c r="I43" s="61">
        <v>48</v>
      </c>
      <c r="J43" s="61">
        <v>4</v>
      </c>
    </row>
    <row r="47" spans="1:16" ht="15.75" thickBot="1" x14ac:dyDescent="0.5">
      <c r="A47" s="79" t="s">
        <v>240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ht="16.149999999999999" thickTop="1" thickBot="1" x14ac:dyDescent="0.5">
      <c r="A48" s="265" t="s">
        <v>179</v>
      </c>
      <c r="B48" s="267" t="s">
        <v>205</v>
      </c>
      <c r="C48" s="267" t="s">
        <v>148</v>
      </c>
      <c r="D48" s="267" t="s">
        <v>206</v>
      </c>
      <c r="E48" s="267" t="s">
        <v>148</v>
      </c>
      <c r="F48" s="267" t="s">
        <v>207</v>
      </c>
      <c r="G48" s="267" t="s">
        <v>148</v>
      </c>
      <c r="H48" s="267" t="s">
        <v>208</v>
      </c>
      <c r="I48" s="267" t="s">
        <v>148</v>
      </c>
      <c r="J48" s="267" t="s">
        <v>172</v>
      </c>
      <c r="K48" s="267" t="s">
        <v>148</v>
      </c>
      <c r="L48" s="267" t="s">
        <v>174</v>
      </c>
    </row>
    <row r="49" spans="1:13" ht="16.149999999999999" thickTop="1" thickBot="1" x14ac:dyDescent="0.5">
      <c r="A49" s="266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</row>
    <row r="50" spans="1:13" s="47" customFormat="1" ht="16.149999999999999" thickTop="1" thickBot="1" x14ac:dyDescent="0.5">
      <c r="A50" s="176" t="s">
        <v>311</v>
      </c>
      <c r="B50" s="177">
        <v>17</v>
      </c>
      <c r="C50" s="178" t="s">
        <v>23</v>
      </c>
      <c r="D50" s="177">
        <v>10</v>
      </c>
      <c r="E50" s="178" t="s">
        <v>23</v>
      </c>
      <c r="F50" s="181"/>
      <c r="G50" s="182"/>
      <c r="H50" s="177">
        <v>16</v>
      </c>
      <c r="I50" s="178" t="s">
        <v>23</v>
      </c>
      <c r="J50" s="177" t="s">
        <v>6</v>
      </c>
      <c r="K50" s="178" t="s">
        <v>6</v>
      </c>
      <c r="L50" s="176">
        <v>4</v>
      </c>
    </row>
    <row r="51" spans="1:13" ht="16.149999999999999" thickTop="1" thickBot="1" x14ac:dyDescent="0.5">
      <c r="A51" s="176" t="s">
        <v>337</v>
      </c>
      <c r="B51" s="179"/>
      <c r="C51" s="180"/>
      <c r="D51" s="179">
        <v>10</v>
      </c>
      <c r="E51" s="180" t="s">
        <v>22</v>
      </c>
      <c r="F51" s="179"/>
      <c r="G51" s="180"/>
      <c r="H51" s="179"/>
      <c r="I51" s="180"/>
      <c r="J51" s="179"/>
      <c r="K51" s="180"/>
      <c r="L51" s="175" t="s">
        <v>6</v>
      </c>
      <c r="M51" s="44" t="s">
        <v>338</v>
      </c>
    </row>
    <row r="52" spans="1:13" ht="16.149999999999999" thickTop="1" thickBot="1" x14ac:dyDescent="0.5">
      <c r="A52" s="175" t="s">
        <v>312</v>
      </c>
      <c r="B52" s="179">
        <v>4</v>
      </c>
      <c r="C52" s="180" t="s">
        <v>23</v>
      </c>
      <c r="D52" s="179">
        <v>12</v>
      </c>
      <c r="E52" s="180" t="s">
        <v>23</v>
      </c>
      <c r="F52" s="179"/>
      <c r="G52" s="180"/>
      <c r="H52" s="179">
        <v>16</v>
      </c>
      <c r="I52" s="180" t="s">
        <v>23</v>
      </c>
      <c r="J52" s="179">
        <v>2</v>
      </c>
      <c r="K52" s="180" t="s">
        <v>23</v>
      </c>
      <c r="L52" s="175" t="s">
        <v>6</v>
      </c>
    </row>
    <row r="53" spans="1:13" ht="16.149999999999999" thickTop="1" thickBot="1" x14ac:dyDescent="0.5">
      <c r="A53" s="175" t="s">
        <v>313</v>
      </c>
      <c r="B53" s="179">
        <v>2</v>
      </c>
      <c r="C53" s="180" t="s">
        <v>23</v>
      </c>
      <c r="D53" s="179">
        <v>6</v>
      </c>
      <c r="E53" s="180" t="s">
        <v>23</v>
      </c>
      <c r="F53" s="179"/>
      <c r="G53" s="180"/>
      <c r="H53" s="179">
        <v>12</v>
      </c>
      <c r="I53" s="180" t="s">
        <v>23</v>
      </c>
      <c r="J53" s="179">
        <v>4</v>
      </c>
      <c r="K53" s="180" t="s">
        <v>23</v>
      </c>
      <c r="L53" s="175">
        <v>2</v>
      </c>
    </row>
    <row r="54" spans="1:13" ht="16.149999999999999" thickTop="1" thickBot="1" x14ac:dyDescent="0.5">
      <c r="A54" s="175" t="s">
        <v>314</v>
      </c>
      <c r="B54" s="179">
        <v>1</v>
      </c>
      <c r="C54" s="180"/>
      <c r="D54" s="179">
        <v>3</v>
      </c>
      <c r="E54" s="180" t="s">
        <v>23</v>
      </c>
      <c r="F54" s="179"/>
      <c r="G54" s="180"/>
      <c r="H54" s="179">
        <v>5</v>
      </c>
      <c r="I54" s="180" t="s">
        <v>23</v>
      </c>
      <c r="J54" s="179"/>
      <c r="K54" s="180"/>
      <c r="L54" s="175"/>
    </row>
    <row r="55" spans="1:13" ht="16.149999999999999" thickTop="1" thickBot="1" x14ac:dyDescent="0.5">
      <c r="A55" s="175" t="s">
        <v>278</v>
      </c>
      <c r="B55" s="179"/>
      <c r="C55" s="180"/>
      <c r="D55" s="179">
        <v>2</v>
      </c>
      <c r="E55" s="180" t="s">
        <v>23</v>
      </c>
      <c r="F55" s="179"/>
      <c r="G55" s="180"/>
      <c r="H55" s="179">
        <v>6</v>
      </c>
      <c r="I55" s="180" t="s">
        <v>23</v>
      </c>
      <c r="J55" s="179"/>
      <c r="K55" s="180"/>
      <c r="L55" s="175">
        <v>1</v>
      </c>
    </row>
    <row r="56" spans="1:13" ht="16.149999999999999" thickTop="1" thickBot="1" x14ac:dyDescent="0.5">
      <c r="A56" s="175" t="s">
        <v>292</v>
      </c>
      <c r="B56" s="179">
        <v>2</v>
      </c>
      <c r="C56" s="180" t="s">
        <v>23</v>
      </c>
      <c r="D56" s="179">
        <v>4</v>
      </c>
      <c r="E56" s="180" t="s">
        <v>23</v>
      </c>
      <c r="F56" s="179"/>
      <c r="G56" s="180"/>
      <c r="H56" s="179">
        <v>6</v>
      </c>
      <c r="I56" s="180" t="s">
        <v>23</v>
      </c>
      <c r="J56" s="179">
        <v>8</v>
      </c>
      <c r="K56" s="180" t="s">
        <v>23</v>
      </c>
      <c r="L56" s="175"/>
    </row>
    <row r="57" spans="1:13" s="47" customFormat="1" ht="16.149999999999999" thickTop="1" thickBot="1" x14ac:dyDescent="0.5">
      <c r="A57" s="62" t="s">
        <v>315</v>
      </c>
      <c r="B57" s="63"/>
      <c r="C57" s="64"/>
      <c r="D57" s="63">
        <v>3</v>
      </c>
      <c r="E57" s="64" t="s">
        <v>23</v>
      </c>
      <c r="F57" s="63"/>
      <c r="G57" s="64"/>
      <c r="H57" s="63">
        <v>4</v>
      </c>
      <c r="I57" s="64" t="s">
        <v>23</v>
      </c>
      <c r="J57" s="63">
        <v>2</v>
      </c>
      <c r="K57" s="64" t="s">
        <v>23</v>
      </c>
      <c r="L57" s="62"/>
    </row>
    <row r="58" spans="1:13" ht="16.149999999999999" thickTop="1" thickBot="1" x14ac:dyDescent="0.5">
      <c r="A58" s="55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55"/>
    </row>
    <row r="59" spans="1:13" ht="16.149999999999999" thickTop="1" thickBot="1" x14ac:dyDescent="0.5">
      <c r="A59" s="55" t="s">
        <v>3</v>
      </c>
      <c r="B59" s="55">
        <f>SUM(B50:B58)</f>
        <v>26</v>
      </c>
      <c r="C59" s="35"/>
      <c r="D59" s="55">
        <f>SUM(D50:D58)</f>
        <v>50</v>
      </c>
      <c r="E59" s="35"/>
      <c r="F59" s="55">
        <f>SUM(F50:F58)</f>
        <v>0</v>
      </c>
      <c r="G59" s="35"/>
      <c r="H59" s="55">
        <f>SUM(H50:H58)</f>
        <v>65</v>
      </c>
      <c r="I59" s="35"/>
      <c r="J59" s="55">
        <f>SUM(J50:J58)</f>
        <v>16</v>
      </c>
      <c r="K59" s="35"/>
      <c r="L59" s="55">
        <f>SUM(L50:L58)</f>
        <v>7</v>
      </c>
    </row>
    <row r="60" spans="1:13" ht="15.75" thickTop="1" x14ac:dyDescent="0.45"/>
    <row r="62" spans="1:13" ht="15.75" thickBot="1" x14ac:dyDescent="0.5"/>
    <row r="63" spans="1:13" ht="16.149999999999999" thickTop="1" thickBot="1" x14ac:dyDescent="0.5">
      <c r="A63" s="55" t="s">
        <v>194</v>
      </c>
      <c r="B63" s="49" t="s">
        <v>316</v>
      </c>
      <c r="E63" s="49"/>
      <c r="F63" s="58" t="s">
        <v>209</v>
      </c>
      <c r="G63" s="53">
        <f>B64*0.5</f>
        <v>149.5</v>
      </c>
    </row>
    <row r="64" spans="1:13" ht="16.149999999999999" thickTop="1" thickBot="1" x14ac:dyDescent="0.5">
      <c r="A64" s="55" t="s">
        <v>211</v>
      </c>
      <c r="B64" s="55">
        <f>(B59*4)+(D59*2)+(F59*2)+(H59*1)+(J59*1)+(L59*2)</f>
        <v>299</v>
      </c>
    </row>
    <row r="65" spans="1:16" ht="16.149999999999999" thickTop="1" thickBot="1" x14ac:dyDescent="0.5">
      <c r="A65" s="55" t="s">
        <v>212</v>
      </c>
      <c r="B65" s="59">
        <f>ROUNDUP((B64/20)*5,0)</f>
        <v>75</v>
      </c>
      <c r="E65" s="255" t="s">
        <v>213</v>
      </c>
      <c r="F65" s="255"/>
      <c r="G65" s="255"/>
      <c r="H65" s="255"/>
      <c r="I65" s="255"/>
      <c r="J65" s="255"/>
      <c r="K65" s="255"/>
    </row>
    <row r="66" spans="1:16" ht="16.149999999999999" thickTop="1" thickBot="1" x14ac:dyDescent="0.5">
      <c r="A66" s="55" t="s">
        <v>162</v>
      </c>
      <c r="B66" s="55">
        <f>ROUNDUP((B64/20)*0.1,2)</f>
        <v>1.5</v>
      </c>
      <c r="C66" s="20" t="s">
        <v>55</v>
      </c>
      <c r="E66" s="255" t="s">
        <v>214</v>
      </c>
      <c r="F66" s="255"/>
      <c r="G66" s="255"/>
      <c r="H66" s="49" t="s">
        <v>117</v>
      </c>
      <c r="I66" s="255" t="s">
        <v>198</v>
      </c>
      <c r="J66" s="255"/>
      <c r="K66" s="255"/>
    </row>
    <row r="67" spans="1:16" ht="15" customHeight="1" thickTop="1" thickBot="1" x14ac:dyDescent="0.5">
      <c r="E67" s="262"/>
      <c r="F67" s="263"/>
      <c r="G67" s="264"/>
      <c r="H67" s="166"/>
      <c r="I67" s="262"/>
      <c r="J67" s="263"/>
      <c r="K67" s="264"/>
    </row>
    <row r="68" spans="1:16" ht="15" customHeight="1" thickBot="1" x14ac:dyDescent="0.5">
      <c r="E68" s="262"/>
      <c r="F68" s="263"/>
      <c r="G68" s="264"/>
      <c r="H68" s="166"/>
      <c r="I68" s="262"/>
      <c r="J68" s="263"/>
      <c r="K68" s="264"/>
    </row>
    <row r="69" spans="1:16" ht="15" customHeight="1" thickBot="1" x14ac:dyDescent="0.5">
      <c r="E69" s="262"/>
      <c r="F69" s="263"/>
      <c r="G69" s="264"/>
      <c r="H69" s="166"/>
      <c r="I69" s="262"/>
      <c r="J69" s="263"/>
      <c r="K69" s="264"/>
    </row>
    <row r="70" spans="1:16" ht="15.75" thickBot="1" x14ac:dyDescent="0.5">
      <c r="E70" s="262"/>
      <c r="F70" s="263"/>
      <c r="G70" s="264"/>
      <c r="H70" s="166"/>
      <c r="I70" s="262"/>
      <c r="J70" s="263"/>
      <c r="K70" s="264"/>
    </row>
    <row r="71" spans="1:16" ht="15.75" thickBot="1" x14ac:dyDescent="0.5">
      <c r="E71" s="20" t="s">
        <v>6</v>
      </c>
      <c r="F71" s="20" t="s">
        <v>6</v>
      </c>
      <c r="G71" s="49" t="s">
        <v>41</v>
      </c>
      <c r="H71" s="49">
        <f>SUM(H67:H70)</f>
        <v>0</v>
      </c>
    </row>
    <row r="72" spans="1:16" ht="15.75" thickBot="1" x14ac:dyDescent="0.5">
      <c r="G72" s="49" t="s">
        <v>108</v>
      </c>
      <c r="H72" s="61">
        <f>J28-H36-H71</f>
        <v>363.38499999999999</v>
      </c>
      <c r="I72" s="48"/>
    </row>
    <row r="75" spans="1:16" ht="15.75" thickBot="1" x14ac:dyDescent="0.5">
      <c r="A75" s="80" t="s">
        <v>241</v>
      </c>
    </row>
    <row r="76" spans="1:16" ht="15.75" thickBot="1" x14ac:dyDescent="0.5">
      <c r="A76" s="49" t="s">
        <v>215</v>
      </c>
      <c r="B76" s="49" t="s">
        <v>167</v>
      </c>
      <c r="C76" s="49" t="s">
        <v>117</v>
      </c>
      <c r="D76" s="274" t="s">
        <v>179</v>
      </c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</row>
    <row r="77" spans="1:16" ht="15.75" thickBot="1" x14ac:dyDescent="0.5">
      <c r="A77" s="49" t="s">
        <v>220</v>
      </c>
      <c r="B77" s="49">
        <v>8</v>
      </c>
      <c r="C77" s="67"/>
      <c r="D77" s="275" t="s">
        <v>317</v>
      </c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</row>
    <row r="78" spans="1:16" ht="15.75" thickBot="1" x14ac:dyDescent="0.5">
      <c r="A78" s="49" t="s">
        <v>216</v>
      </c>
      <c r="B78" s="49">
        <v>35</v>
      </c>
      <c r="C78" s="68">
        <f>B78</f>
        <v>35</v>
      </c>
      <c r="D78" s="192" t="s">
        <v>318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4"/>
    </row>
    <row r="79" spans="1:16" x14ac:dyDescent="0.45">
      <c r="A79" s="35"/>
      <c r="B79" s="35"/>
      <c r="C79" s="15"/>
      <c r="D79" s="192" t="s">
        <v>319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6"/>
    </row>
    <row r="80" spans="1:16" x14ac:dyDescent="0.45">
      <c r="A80" s="35"/>
      <c r="B80" s="35"/>
      <c r="C80" s="15"/>
      <c r="D80" s="192" t="s">
        <v>320</v>
      </c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6"/>
    </row>
    <row r="81" spans="1:16" x14ac:dyDescent="0.45">
      <c r="A81" s="35"/>
      <c r="B81" s="35"/>
      <c r="C81" s="15"/>
      <c r="D81" s="192" t="s">
        <v>321</v>
      </c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6"/>
    </row>
    <row r="82" spans="1:16" x14ac:dyDescent="0.45">
      <c r="A82" s="35"/>
      <c r="B82" s="35"/>
      <c r="C82" s="15"/>
      <c r="D82" s="259" t="s">
        <v>322</v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1"/>
    </row>
    <row r="83" spans="1:16" ht="15.75" thickBot="1" x14ac:dyDescent="0.5">
      <c r="A83" s="35"/>
      <c r="B83" s="35"/>
      <c r="C83" s="15"/>
      <c r="D83" s="256" t="s">
        <v>323</v>
      </c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8"/>
    </row>
    <row r="84" spans="1:16" x14ac:dyDescent="0.45">
      <c r="A84" s="35"/>
      <c r="B84" s="35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5"/>
      <c r="B85" s="35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9" t="s">
        <v>217</v>
      </c>
      <c r="B86" s="49" t="s">
        <v>167</v>
      </c>
      <c r="C86" s="49" t="s">
        <v>117</v>
      </c>
      <c r="D86" s="255" t="s">
        <v>179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</row>
    <row r="87" spans="1:16" ht="15.75" thickBot="1" x14ac:dyDescent="0.5">
      <c r="A87" s="57" t="s">
        <v>220</v>
      </c>
      <c r="B87" s="57">
        <v>16</v>
      </c>
      <c r="C87" s="67"/>
      <c r="D87" s="251" t="s">
        <v>348</v>
      </c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3"/>
    </row>
    <row r="88" spans="1:16" ht="15.75" customHeight="1" thickBot="1" x14ac:dyDescent="0.5">
      <c r="A88" s="160" t="s">
        <v>216</v>
      </c>
      <c r="B88" s="160">
        <v>6</v>
      </c>
      <c r="C88" s="159">
        <f>B88</f>
        <v>6</v>
      </c>
      <c r="D88" s="248" t="s">
        <v>349</v>
      </c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50"/>
    </row>
    <row r="89" spans="1:16" ht="15.75" customHeight="1" x14ac:dyDescent="0.45">
      <c r="D89" s="242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4"/>
    </row>
    <row r="90" spans="1:16" ht="15.75" customHeight="1" x14ac:dyDescent="0.45">
      <c r="D90" s="242" t="s">
        <v>350</v>
      </c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4"/>
    </row>
    <row r="91" spans="1:16" ht="15.75" customHeight="1" x14ac:dyDescent="0.45">
      <c r="D91" s="245" t="s">
        <v>351</v>
      </c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7"/>
    </row>
    <row r="92" spans="1:16" ht="15.75" thickBot="1" x14ac:dyDescent="0.5"/>
    <row r="93" spans="1:16" ht="15.75" thickBot="1" x14ac:dyDescent="0.5">
      <c r="A93" s="49" t="s">
        <v>218</v>
      </c>
      <c r="B93" s="49" t="s">
        <v>167</v>
      </c>
      <c r="C93" s="49" t="s">
        <v>117</v>
      </c>
      <c r="D93" s="255" t="s">
        <v>179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</row>
    <row r="94" spans="1:16" ht="15.75" thickBot="1" x14ac:dyDescent="0.5">
      <c r="A94" s="49"/>
      <c r="B94" s="49">
        <v>20</v>
      </c>
      <c r="C94" s="68">
        <f>B94*2</f>
        <v>40</v>
      </c>
      <c r="D94" s="268" t="s">
        <v>324</v>
      </c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70"/>
    </row>
    <row r="95" spans="1:16" ht="35.25" customHeight="1" thickBot="1" x14ac:dyDescent="0.5">
      <c r="D95" s="271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3"/>
    </row>
    <row r="96" spans="1:16" ht="15.75" thickBot="1" x14ac:dyDescent="0.5">
      <c r="A96" s="20" t="s">
        <v>6</v>
      </c>
    </row>
    <row r="97" spans="1:17" ht="15.75" thickBot="1" x14ac:dyDescent="0.5">
      <c r="A97" s="49" t="s">
        <v>219</v>
      </c>
      <c r="B97" s="49" t="s">
        <v>167</v>
      </c>
      <c r="C97" s="49" t="s">
        <v>117</v>
      </c>
      <c r="D97" s="255" t="s">
        <v>179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</row>
    <row r="98" spans="1:17" ht="15.75" thickBot="1" x14ac:dyDescent="0.5">
      <c r="A98" s="49"/>
      <c r="B98" s="49">
        <v>7</v>
      </c>
      <c r="C98" s="68">
        <f>B98*4</f>
        <v>28</v>
      </c>
      <c r="D98" s="191" t="s">
        <v>325</v>
      </c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5"/>
    </row>
    <row r="99" spans="1:17" ht="15.75" thickBot="1" x14ac:dyDescent="0.5">
      <c r="D99" s="206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8"/>
    </row>
    <row r="102" spans="1:17" x14ac:dyDescent="0.45">
      <c r="A102" s="163" t="s">
        <v>3</v>
      </c>
      <c r="B102" s="164">
        <f>C78+C88+C94+C98</f>
        <v>109</v>
      </c>
    </row>
    <row r="103" spans="1:17" x14ac:dyDescent="0.4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.75" thickBot="1" x14ac:dyDescent="0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.75" thickBot="1" x14ac:dyDescent="0.5">
      <c r="C105" s="148" t="s">
        <v>57</v>
      </c>
      <c r="D105" s="61">
        <f>H72</f>
        <v>363.38499999999999</v>
      </c>
    </row>
  </sheetData>
  <sheetProtection algorithmName="SHA-512" hashValue="wdroKYWlYwOn987IrQeYifmD5I9jYTrGqM8S/S41XmqOFCzFWk5zCNtzDJP0KFuZ5OQtwYXMgN1tqaLjKWYaSw==" saltValue="I10V74SuSSR8BbE6oERSEA==" spinCount="100000" sheet="1" objects="1" scenarios="1"/>
  <mergeCells count="65">
    <mergeCell ref="M16:P16"/>
    <mergeCell ref="N17:N18"/>
    <mergeCell ref="M17:M18"/>
    <mergeCell ref="O17:O18"/>
    <mergeCell ref="P17:P18"/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  <mergeCell ref="D94:P95"/>
    <mergeCell ref="D97:P97"/>
    <mergeCell ref="N6:P6"/>
    <mergeCell ref="D76:P76"/>
    <mergeCell ref="D77:P77"/>
    <mergeCell ref="D93:P93"/>
    <mergeCell ref="D48:D49"/>
    <mergeCell ref="E48:E49"/>
    <mergeCell ref="F48:F49"/>
    <mergeCell ref="G39:J39"/>
    <mergeCell ref="L48:L49"/>
    <mergeCell ref="K6:K7"/>
    <mergeCell ref="I31:K31"/>
    <mergeCell ref="E30:K30"/>
    <mergeCell ref="I66:K66"/>
    <mergeCell ref="I67:K67"/>
    <mergeCell ref="B48:B49"/>
    <mergeCell ref="C48:C49"/>
    <mergeCell ref="I68:K68"/>
    <mergeCell ref="E65:K65"/>
    <mergeCell ref="E68:G68"/>
    <mergeCell ref="E66:G66"/>
    <mergeCell ref="E67:G67"/>
    <mergeCell ref="A2:T2"/>
    <mergeCell ref="D86:P86"/>
    <mergeCell ref="D83:P83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  <mergeCell ref="A48:A49"/>
    <mergeCell ref="G48:G49"/>
    <mergeCell ref="H48:H49"/>
    <mergeCell ref="K48:K49"/>
    <mergeCell ref="D89:P89"/>
    <mergeCell ref="D90:P90"/>
    <mergeCell ref="D91:P91"/>
    <mergeCell ref="D88:P88"/>
    <mergeCell ref="D87:P87"/>
  </mergeCells>
  <dataValidations disablePrompts="1" count="2">
    <dataValidation type="list" showInputMessage="1" showErrorMessage="1" sqref="C9:C11 C13:C24 I9:I24 G9:G24 E8:E24 K8:K24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6"/>
  <sheetViews>
    <sheetView showGridLines="0" workbookViewId="0"/>
  </sheetViews>
  <sheetFormatPr defaultColWidth="9.1328125" defaultRowHeight="17.649999999999999" x14ac:dyDescent="0.5"/>
  <cols>
    <col min="1" max="1" width="3.9296875" style="31" customWidth="1"/>
    <col min="2" max="2" width="23.6640625" style="31" bestFit="1" customWidth="1"/>
    <col min="3" max="3" width="14.59765625" style="31" bestFit="1" customWidth="1"/>
    <col min="4" max="4" width="14.46484375" style="31" bestFit="1" customWidth="1"/>
    <col min="5" max="5" width="10.06640625" style="31" bestFit="1" customWidth="1"/>
    <col min="6" max="6" width="10.6640625" style="31" customWidth="1"/>
    <col min="7" max="7" width="9" style="31" customWidth="1"/>
    <col min="8" max="16384" width="9.1328125" style="31"/>
  </cols>
  <sheetData>
    <row r="1" spans="1:16" s="17" customFormat="1" x14ac:dyDescent="0.5">
      <c r="A1" s="33"/>
      <c r="B1" s="286" t="s">
        <v>242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107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88"/>
      <c r="C5" s="289" t="s">
        <v>222</v>
      </c>
      <c r="D5" s="290"/>
      <c r="E5" s="290"/>
      <c r="F5" s="290"/>
      <c r="G5" s="290"/>
      <c r="H5" s="290"/>
      <c r="I5" s="291"/>
      <c r="J5" s="17"/>
      <c r="K5" s="287" t="s">
        <v>223</v>
      </c>
      <c r="L5" s="287"/>
      <c r="M5" s="287"/>
      <c r="N5" s="287"/>
      <c r="O5" s="287"/>
      <c r="P5" s="287"/>
    </row>
    <row r="6" spans="1:16" s="11" customFormat="1" ht="18" thickBot="1" x14ac:dyDescent="0.55000000000000004">
      <c r="B6" s="288"/>
      <c r="C6" s="40" t="s">
        <v>134</v>
      </c>
      <c r="D6" s="40" t="s">
        <v>91</v>
      </c>
      <c r="E6" s="40" t="s">
        <v>92</v>
      </c>
      <c r="F6" s="40" t="s">
        <v>99</v>
      </c>
      <c r="G6" s="40" t="s">
        <v>93</v>
      </c>
      <c r="H6" s="40" t="s">
        <v>95</v>
      </c>
      <c r="I6" s="40" t="s">
        <v>96</v>
      </c>
      <c r="J6" s="17"/>
      <c r="K6" s="40" t="s">
        <v>91</v>
      </c>
      <c r="L6" s="40" t="s">
        <v>92</v>
      </c>
      <c r="M6" s="40" t="s">
        <v>99</v>
      </c>
      <c r="N6" s="40" t="s">
        <v>93</v>
      </c>
      <c r="O6" s="40" t="s">
        <v>95</v>
      </c>
      <c r="P6" s="40" t="s">
        <v>96</v>
      </c>
    </row>
    <row r="7" spans="1:16" s="11" customFormat="1" ht="18" thickBot="1" x14ac:dyDescent="0.55000000000000004">
      <c r="B7" s="21"/>
      <c r="C7" s="43">
        <f>SUM(C11:C32)</f>
        <v>284</v>
      </c>
      <c r="D7" s="41">
        <f t="shared" ref="D7:P7" si="0">SUM(D11:D32)</f>
        <v>1</v>
      </c>
      <c r="E7" s="41">
        <f t="shared" si="0"/>
        <v>7</v>
      </c>
      <c r="F7" s="41">
        <f t="shared" si="0"/>
        <v>14</v>
      </c>
      <c r="G7" s="41">
        <f t="shared" si="0"/>
        <v>7</v>
      </c>
      <c r="H7" s="41">
        <f t="shared" si="0"/>
        <v>3</v>
      </c>
      <c r="I7" s="41">
        <f t="shared" si="0"/>
        <v>2</v>
      </c>
      <c r="J7" s="10"/>
      <c r="K7" s="41">
        <f t="shared" si="0"/>
        <v>17</v>
      </c>
      <c r="L7" s="41">
        <f t="shared" si="0"/>
        <v>0</v>
      </c>
      <c r="M7" s="41">
        <f t="shared" si="0"/>
        <v>1</v>
      </c>
      <c r="N7" s="41">
        <f t="shared" si="0"/>
        <v>0</v>
      </c>
      <c r="O7" s="41">
        <f t="shared" si="0"/>
        <v>0</v>
      </c>
      <c r="P7" s="41">
        <f t="shared" si="0"/>
        <v>0</v>
      </c>
    </row>
    <row r="8" spans="1:16" s="17" customFormat="1" ht="18" thickBot="1" x14ac:dyDescent="0.55000000000000004">
      <c r="A8" s="33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3"/>
      <c r="C9" s="287" t="s">
        <v>224</v>
      </c>
      <c r="D9" s="287"/>
      <c r="E9" s="287"/>
      <c r="F9" s="287"/>
      <c r="G9" s="287"/>
      <c r="H9" s="287"/>
      <c r="I9" s="40"/>
      <c r="K9" s="287" t="s">
        <v>225</v>
      </c>
      <c r="L9" s="287"/>
      <c r="M9" s="287"/>
      <c r="N9" s="287"/>
      <c r="O9" s="287"/>
      <c r="P9" s="287"/>
    </row>
    <row r="10" spans="1:16" s="17" customFormat="1" ht="18" thickBot="1" x14ac:dyDescent="0.55000000000000004">
      <c r="A10" s="33"/>
      <c r="C10" s="40" t="s">
        <v>134</v>
      </c>
      <c r="D10" s="168" t="s">
        <v>91</v>
      </c>
      <c r="E10" s="168" t="s">
        <v>92</v>
      </c>
      <c r="F10" s="168" t="s">
        <v>99</v>
      </c>
      <c r="G10" s="168" t="s">
        <v>93</v>
      </c>
      <c r="H10" s="168" t="s">
        <v>95</v>
      </c>
      <c r="I10" s="168" t="s">
        <v>96</v>
      </c>
      <c r="K10" s="168" t="s">
        <v>91</v>
      </c>
      <c r="L10" s="168" t="s">
        <v>92</v>
      </c>
      <c r="M10" s="168" t="s">
        <v>99</v>
      </c>
      <c r="N10" s="168" t="s">
        <v>93</v>
      </c>
      <c r="O10" s="168" t="s">
        <v>95</v>
      </c>
      <c r="P10" s="168" t="s">
        <v>96</v>
      </c>
    </row>
    <row r="11" spans="1:16" s="17" customFormat="1" ht="18" thickBot="1" x14ac:dyDescent="0.55000000000000004">
      <c r="A11" s="33"/>
      <c r="B11" s="170" t="s">
        <v>247</v>
      </c>
      <c r="C11" s="183">
        <v>125</v>
      </c>
      <c r="D11" s="172">
        <v>0</v>
      </c>
      <c r="E11" s="172">
        <v>0</v>
      </c>
      <c r="F11" s="172">
        <v>4</v>
      </c>
      <c r="G11" s="172">
        <v>5</v>
      </c>
      <c r="H11" s="172">
        <v>0</v>
      </c>
      <c r="I11" s="172">
        <v>0</v>
      </c>
      <c r="J11" s="169" t="s">
        <v>6</v>
      </c>
      <c r="K11" s="172">
        <v>6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</row>
    <row r="12" spans="1:16" s="17" customFormat="1" ht="18" thickBot="1" x14ac:dyDescent="0.55000000000000004">
      <c r="A12" s="33"/>
      <c r="B12" s="170" t="s">
        <v>248</v>
      </c>
      <c r="C12" s="183">
        <v>0</v>
      </c>
      <c r="D12" s="172">
        <v>0</v>
      </c>
      <c r="E12" s="172">
        <v>2</v>
      </c>
      <c r="F12" s="172">
        <v>0</v>
      </c>
      <c r="G12" s="172">
        <v>0</v>
      </c>
      <c r="H12" s="172">
        <v>0</v>
      </c>
      <c r="I12" s="172">
        <v>1</v>
      </c>
      <c r="J12" s="169" t="s">
        <v>6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</row>
    <row r="13" spans="1:16" s="30" customFormat="1" ht="18" thickBot="1" x14ac:dyDescent="0.55000000000000004">
      <c r="A13" s="33"/>
      <c r="B13" s="170" t="s">
        <v>249</v>
      </c>
      <c r="C13" s="183">
        <v>0</v>
      </c>
      <c r="D13" s="172">
        <v>0</v>
      </c>
      <c r="E13" s="172">
        <v>3</v>
      </c>
      <c r="F13" s="172">
        <v>3</v>
      </c>
      <c r="G13" s="172">
        <v>0</v>
      </c>
      <c r="H13" s="172">
        <v>0</v>
      </c>
      <c r="I13" s="172">
        <v>0</v>
      </c>
      <c r="J13" s="169" t="s">
        <v>6</v>
      </c>
      <c r="K13" s="172">
        <v>1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</row>
    <row r="14" spans="1:16" s="198" customFormat="1" ht="18" thickBot="1" x14ac:dyDescent="0.55000000000000004">
      <c r="B14" s="199" t="s">
        <v>287</v>
      </c>
      <c r="C14" s="183">
        <v>0</v>
      </c>
      <c r="D14" s="172">
        <v>1</v>
      </c>
      <c r="E14" s="172">
        <v>1</v>
      </c>
      <c r="F14" s="172">
        <v>0</v>
      </c>
      <c r="G14" s="172">
        <v>0</v>
      </c>
      <c r="H14" s="172">
        <v>0</v>
      </c>
      <c r="I14" s="172">
        <v>0</v>
      </c>
      <c r="K14" s="172">
        <v>0</v>
      </c>
      <c r="L14" s="172">
        <v>0</v>
      </c>
      <c r="M14" s="172">
        <v>1</v>
      </c>
      <c r="N14" s="172">
        <v>0</v>
      </c>
      <c r="O14" s="172">
        <v>0</v>
      </c>
      <c r="P14" s="172">
        <v>0</v>
      </c>
    </row>
    <row r="15" spans="1:16" s="30" customFormat="1" ht="18" thickBot="1" x14ac:dyDescent="0.55000000000000004">
      <c r="A15" s="33"/>
      <c r="B15" s="170" t="s">
        <v>250</v>
      </c>
      <c r="C15" s="183">
        <v>7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69" t="s">
        <v>6</v>
      </c>
      <c r="K15" s="172">
        <v>1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</row>
    <row r="16" spans="1:16" s="30" customFormat="1" ht="18" thickBot="1" x14ac:dyDescent="0.55000000000000004">
      <c r="A16" s="33"/>
      <c r="B16" s="170" t="s">
        <v>251</v>
      </c>
      <c r="C16" s="183">
        <v>40</v>
      </c>
      <c r="D16" s="172">
        <v>0</v>
      </c>
      <c r="E16" s="172">
        <v>1</v>
      </c>
      <c r="F16" s="172">
        <v>3</v>
      </c>
      <c r="G16" s="172">
        <v>0</v>
      </c>
      <c r="H16" s="172">
        <v>0</v>
      </c>
      <c r="I16" s="172">
        <v>0</v>
      </c>
      <c r="J16" s="169" t="s">
        <v>6</v>
      </c>
      <c r="K16" s="172">
        <v>1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</row>
    <row r="17" spans="1:16" s="30" customFormat="1" ht="18" thickBot="1" x14ac:dyDescent="0.55000000000000004">
      <c r="A17" s="33"/>
      <c r="B17" s="170" t="s">
        <v>252</v>
      </c>
      <c r="C17" s="183">
        <v>15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69" t="s">
        <v>6</v>
      </c>
      <c r="K17" s="172">
        <v>1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</row>
    <row r="18" spans="1:16" s="30" customFormat="1" ht="18" thickBot="1" x14ac:dyDescent="0.55000000000000004">
      <c r="A18" s="33"/>
      <c r="B18" s="170" t="s">
        <v>253</v>
      </c>
      <c r="C18" s="183">
        <v>0</v>
      </c>
      <c r="D18" s="172">
        <v>0</v>
      </c>
      <c r="E18" s="172">
        <v>0</v>
      </c>
      <c r="F18" s="172">
        <v>3</v>
      </c>
      <c r="G18" s="172">
        <v>2</v>
      </c>
      <c r="H18" s="172">
        <v>3</v>
      </c>
      <c r="I18" s="172">
        <v>1</v>
      </c>
      <c r="J18" s="169" t="s">
        <v>6</v>
      </c>
      <c r="K18" s="172">
        <v>7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</row>
    <row r="19" spans="1:16" s="30" customFormat="1" ht="18" thickBot="1" x14ac:dyDescent="0.55000000000000004">
      <c r="A19" s="33"/>
      <c r="B19" s="170" t="s">
        <v>254</v>
      </c>
      <c r="C19" s="183">
        <v>5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69"/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</row>
    <row r="20" spans="1:16" s="30" customFormat="1" ht="18" thickBot="1" x14ac:dyDescent="0.55000000000000004">
      <c r="A20" s="33"/>
      <c r="B20" s="170" t="s">
        <v>282</v>
      </c>
      <c r="C20" s="183">
        <v>5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69"/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</row>
    <row r="21" spans="1:16" s="30" customFormat="1" ht="18" thickBot="1" x14ac:dyDescent="0.55000000000000004">
      <c r="A21" s="33"/>
      <c r="B21" s="170" t="s">
        <v>255</v>
      </c>
      <c r="C21" s="183">
        <v>2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69"/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</row>
    <row r="22" spans="1:16" s="33" customFormat="1" ht="18" thickBot="1" x14ac:dyDescent="0.55000000000000004">
      <c r="B22" s="170" t="s">
        <v>339</v>
      </c>
      <c r="C22" s="183">
        <v>31</v>
      </c>
      <c r="D22" s="172">
        <v>0</v>
      </c>
      <c r="E22" s="172">
        <v>0</v>
      </c>
      <c r="F22" s="172">
        <v>1</v>
      </c>
      <c r="G22" s="172">
        <v>0</v>
      </c>
      <c r="H22" s="172">
        <v>0</v>
      </c>
      <c r="I22" s="172">
        <v>0</v>
      </c>
      <c r="J22" s="169"/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</row>
    <row r="23" spans="1:16" s="211" customFormat="1" ht="18" thickBot="1" x14ac:dyDescent="0.55000000000000004">
      <c r="B23" s="199" t="s">
        <v>340</v>
      </c>
      <c r="C23" s="183">
        <v>7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</row>
    <row r="24" spans="1:16" s="33" customFormat="1" ht="18" thickBot="1" x14ac:dyDescent="0.55000000000000004">
      <c r="B24" s="170" t="s">
        <v>256</v>
      </c>
      <c r="C24" s="183">
        <v>16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69"/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</row>
    <row r="25" spans="1:16" s="33" customFormat="1" ht="18" thickBot="1" x14ac:dyDescent="0.55000000000000004">
      <c r="B25" s="170" t="s">
        <v>257</v>
      </c>
      <c r="C25" s="183">
        <v>4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69"/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</row>
    <row r="26" spans="1:16" s="33" customFormat="1" ht="18" thickBot="1" x14ac:dyDescent="0.55000000000000004">
      <c r="B26" s="170" t="s">
        <v>258</v>
      </c>
      <c r="C26" s="183">
        <v>15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69"/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</row>
    <row r="27" spans="1:16" s="33" customFormat="1" ht="18" thickBot="1" x14ac:dyDescent="0.55000000000000004">
      <c r="B27" s="170" t="s">
        <v>259</v>
      </c>
      <c r="C27" s="183">
        <v>4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69"/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</row>
    <row r="28" spans="1:16" s="33" customFormat="1" ht="18" thickBot="1" x14ac:dyDescent="0.55000000000000004">
      <c r="B28" s="170" t="s">
        <v>260</v>
      </c>
      <c r="C28" s="183">
        <v>8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69"/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</row>
    <row r="29" spans="1:16" s="33" customFormat="1" ht="18" thickBot="1" x14ac:dyDescent="0.55000000000000004">
      <c r="B29" s="170" t="s">
        <v>261</v>
      </c>
      <c r="C29" s="183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69"/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</row>
    <row r="30" spans="1:16" s="33" customFormat="1" ht="18" thickBot="1" x14ac:dyDescent="0.55000000000000004">
      <c r="B30" s="170" t="s">
        <v>262</v>
      </c>
      <c r="C30" s="183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69"/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</row>
    <row r="31" spans="1:16" s="33" customFormat="1" ht="18" thickBot="1" x14ac:dyDescent="0.55000000000000004">
      <c r="B31" s="170" t="s">
        <v>263</v>
      </c>
      <c r="C31" s="183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69"/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</row>
    <row r="32" spans="1:16" s="33" customFormat="1" ht="18" thickBot="1" x14ac:dyDescent="0.55000000000000004">
      <c r="B32" s="170" t="s">
        <v>264</v>
      </c>
      <c r="C32" s="183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69"/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</row>
    <row r="33" spans="2:8" s="33" customFormat="1" x14ac:dyDescent="0.5"/>
    <row r="34" spans="2:8" x14ac:dyDescent="0.5">
      <c r="D34" s="28"/>
    </row>
    <row r="35" spans="2:8" x14ac:dyDescent="0.5">
      <c r="B35" s="292" t="s">
        <v>234</v>
      </c>
      <c r="C35" s="293"/>
      <c r="D35" s="293"/>
      <c r="E35" s="293"/>
      <c r="F35" s="293"/>
      <c r="G35" s="294"/>
      <c r="H35" s="28"/>
    </row>
    <row r="36" spans="2:8" x14ac:dyDescent="0.5">
      <c r="B36" s="42" t="s">
        <v>181</v>
      </c>
      <c r="C36" s="42" t="s">
        <v>214</v>
      </c>
      <c r="D36" s="42" t="s">
        <v>226</v>
      </c>
      <c r="E36" s="149" t="s">
        <v>117</v>
      </c>
      <c r="F36" s="150" t="s">
        <v>7</v>
      </c>
      <c r="G36" s="42" t="s">
        <v>122</v>
      </c>
    </row>
    <row r="37" spans="2:8" s="200" customFormat="1" x14ac:dyDescent="0.5">
      <c r="B37" s="173" t="str">
        <f>_xlfn.CONCAT(D37," en ",C37)</f>
        <v>Comida en Irlanda</v>
      </c>
      <c r="C37" s="173" t="s">
        <v>286</v>
      </c>
      <c r="D37" s="173" t="s">
        <v>92</v>
      </c>
      <c r="E37" s="149">
        <v>60</v>
      </c>
      <c r="F37" s="150">
        <v>0</v>
      </c>
      <c r="G37" s="173" t="s">
        <v>10</v>
      </c>
    </row>
    <row r="38" spans="2:8" x14ac:dyDescent="0.5">
      <c r="B38" s="42" t="str">
        <f>_xlfn.CONCAT(D38," en ",C38)</f>
        <v>Mat Primas 1 en India</v>
      </c>
      <c r="C38" s="42" t="s">
        <v>247</v>
      </c>
      <c r="D38" s="42" t="s">
        <v>265</v>
      </c>
      <c r="E38" s="197">
        <v>60</v>
      </c>
      <c r="F38" s="151">
        <v>0</v>
      </c>
      <c r="G38" s="42" t="s">
        <v>120</v>
      </c>
    </row>
    <row r="39" spans="2:8" s="171" customFormat="1" x14ac:dyDescent="0.5">
      <c r="B39" s="173" t="str">
        <f t="shared" ref="B39:B63" si="1">_xlfn.CONCAT(D39," en ",C39)</f>
        <v>Mat Primas 2 en India</v>
      </c>
      <c r="C39" s="173" t="s">
        <v>247</v>
      </c>
      <c r="D39" s="173" t="s">
        <v>266</v>
      </c>
      <c r="E39" s="197">
        <v>60</v>
      </c>
      <c r="F39" s="151">
        <v>0</v>
      </c>
      <c r="G39" s="173" t="s">
        <v>120</v>
      </c>
    </row>
    <row r="40" spans="2:8" s="171" customFormat="1" x14ac:dyDescent="0.5">
      <c r="B40" s="173" t="str">
        <f t="shared" si="1"/>
        <v>Exótico 1 en India</v>
      </c>
      <c r="C40" s="173" t="s">
        <v>247</v>
      </c>
      <c r="D40" s="173" t="s">
        <v>267</v>
      </c>
      <c r="E40" s="197">
        <v>55</v>
      </c>
      <c r="F40" s="151">
        <v>0</v>
      </c>
      <c r="G40" s="173" t="s">
        <v>120</v>
      </c>
    </row>
    <row r="41" spans="2:8" s="171" customFormat="1" x14ac:dyDescent="0.5">
      <c r="B41" s="173" t="str">
        <f t="shared" si="1"/>
        <v>Exótico 2 en India</v>
      </c>
      <c r="C41" s="173" t="s">
        <v>247</v>
      </c>
      <c r="D41" s="173" t="s">
        <v>268</v>
      </c>
      <c r="E41" s="197">
        <v>55</v>
      </c>
      <c r="F41" s="151">
        <v>0</v>
      </c>
      <c r="G41" s="173" t="s">
        <v>120</v>
      </c>
    </row>
    <row r="42" spans="2:8" s="171" customFormat="1" x14ac:dyDescent="0.5">
      <c r="B42" s="173" t="str">
        <f t="shared" si="1"/>
        <v>Comida 1 en India</v>
      </c>
      <c r="C42" s="173" t="s">
        <v>247</v>
      </c>
      <c r="D42" s="173" t="s">
        <v>269</v>
      </c>
      <c r="E42" s="197">
        <v>60</v>
      </c>
      <c r="F42" s="151">
        <v>0</v>
      </c>
      <c r="G42" s="173" t="s">
        <v>120</v>
      </c>
    </row>
    <row r="43" spans="2:8" s="171" customFormat="1" x14ac:dyDescent="0.5">
      <c r="B43" s="173" t="str">
        <f t="shared" si="1"/>
        <v>Comida 2 en India</v>
      </c>
      <c r="C43" s="173" t="s">
        <v>247</v>
      </c>
      <c r="D43" s="173" t="s">
        <v>270</v>
      </c>
      <c r="E43" s="197">
        <v>60</v>
      </c>
      <c r="F43" s="151">
        <v>0</v>
      </c>
      <c r="G43" s="173" t="s">
        <v>120</v>
      </c>
    </row>
    <row r="44" spans="2:8" s="171" customFormat="1" x14ac:dyDescent="0.5">
      <c r="B44" s="173" t="str">
        <f t="shared" si="1"/>
        <v>Industria 1 en India</v>
      </c>
      <c r="C44" s="173" t="s">
        <v>247</v>
      </c>
      <c r="D44" s="173" t="s">
        <v>271</v>
      </c>
      <c r="E44" s="197">
        <v>85</v>
      </c>
      <c r="F44" s="151">
        <v>0</v>
      </c>
      <c r="G44" s="173" t="s">
        <v>120</v>
      </c>
    </row>
    <row r="45" spans="2:8" s="171" customFormat="1" x14ac:dyDescent="0.5">
      <c r="B45" s="173" t="str">
        <f t="shared" si="1"/>
        <v>Industria 2 en India</v>
      </c>
      <c r="C45" s="173" t="s">
        <v>247</v>
      </c>
      <c r="D45" s="173" t="s">
        <v>272</v>
      </c>
      <c r="E45" s="197">
        <v>90</v>
      </c>
      <c r="F45" s="151">
        <v>0.33</v>
      </c>
      <c r="G45" s="173" t="s">
        <v>120</v>
      </c>
    </row>
    <row r="46" spans="2:8" s="171" customFormat="1" x14ac:dyDescent="0.5">
      <c r="B46" s="173" t="str">
        <f t="shared" si="1"/>
        <v>Industria en Canada</v>
      </c>
      <c r="C46" s="173" t="s">
        <v>248</v>
      </c>
      <c r="D46" s="173" t="s">
        <v>135</v>
      </c>
      <c r="E46" s="197">
        <v>80</v>
      </c>
      <c r="F46" s="151">
        <v>0.33</v>
      </c>
      <c r="G46" s="173" t="s">
        <v>10</v>
      </c>
    </row>
    <row r="47" spans="2:8" s="171" customFormat="1" x14ac:dyDescent="0.5">
      <c r="B47" s="173" t="str">
        <f t="shared" si="1"/>
        <v>Hierro 1 en Canada</v>
      </c>
      <c r="C47" s="173" t="s">
        <v>248</v>
      </c>
      <c r="D47" s="173" t="s">
        <v>273</v>
      </c>
      <c r="E47" s="197">
        <v>60</v>
      </c>
      <c r="F47" s="151">
        <v>0</v>
      </c>
      <c r="G47" s="173" t="s">
        <v>10</v>
      </c>
    </row>
    <row r="48" spans="2:8" s="171" customFormat="1" x14ac:dyDescent="0.5">
      <c r="B48" s="173" t="str">
        <f t="shared" si="1"/>
        <v>Hierro 2 en Canada</v>
      </c>
      <c r="C48" s="173" t="s">
        <v>248</v>
      </c>
      <c r="D48" s="173" t="s">
        <v>274</v>
      </c>
      <c r="E48" s="197">
        <v>60</v>
      </c>
      <c r="F48" s="151">
        <v>0</v>
      </c>
      <c r="G48" s="173" t="s">
        <v>10</v>
      </c>
    </row>
    <row r="49" spans="2:7" s="171" customFormat="1" x14ac:dyDescent="0.5">
      <c r="B49" s="173" t="str">
        <f t="shared" si="1"/>
        <v>Comida 1 en Canada</v>
      </c>
      <c r="C49" s="173" t="s">
        <v>248</v>
      </c>
      <c r="D49" s="173" t="s">
        <v>269</v>
      </c>
      <c r="E49" s="197">
        <v>60</v>
      </c>
      <c r="F49" s="151">
        <v>0</v>
      </c>
      <c r="G49" s="173" t="s">
        <v>10</v>
      </c>
    </row>
    <row r="50" spans="2:7" s="171" customFormat="1" x14ac:dyDescent="0.5">
      <c r="B50" s="173" t="str">
        <f t="shared" si="1"/>
        <v>Comida 2 en Canada</v>
      </c>
      <c r="C50" s="173" t="s">
        <v>248</v>
      </c>
      <c r="D50" s="173" t="s">
        <v>270</v>
      </c>
      <c r="E50" s="197">
        <v>60</v>
      </c>
      <c r="F50" s="151">
        <v>0</v>
      </c>
      <c r="G50" s="173" t="s">
        <v>10</v>
      </c>
    </row>
    <row r="51" spans="2:7" s="171" customFormat="1" x14ac:dyDescent="0.5">
      <c r="B51" s="173" t="str">
        <f t="shared" si="1"/>
        <v>Mat Prima en Australia</v>
      </c>
      <c r="C51" s="173" t="s">
        <v>278</v>
      </c>
      <c r="D51" s="173" t="s">
        <v>277</v>
      </c>
      <c r="E51" s="197">
        <v>60</v>
      </c>
      <c r="F51" s="151">
        <v>0</v>
      </c>
      <c r="G51" s="173" t="s">
        <v>10</v>
      </c>
    </row>
    <row r="52" spans="2:7" s="171" customFormat="1" x14ac:dyDescent="0.5">
      <c r="B52" s="173" t="str">
        <f t="shared" si="1"/>
        <v>Comida 1 en Australia</v>
      </c>
      <c r="C52" s="173" t="s">
        <v>278</v>
      </c>
      <c r="D52" s="173" t="s">
        <v>269</v>
      </c>
      <c r="E52" s="197">
        <v>65</v>
      </c>
      <c r="F52" s="151">
        <v>0</v>
      </c>
      <c r="G52" s="173" t="s">
        <v>10</v>
      </c>
    </row>
    <row r="53" spans="2:7" s="171" customFormat="1" x14ac:dyDescent="0.5">
      <c r="B53" s="173" t="str">
        <f t="shared" si="1"/>
        <v>Comida 2 en Australia</v>
      </c>
      <c r="C53" s="173" t="s">
        <v>278</v>
      </c>
      <c r="D53" s="173" t="s">
        <v>270</v>
      </c>
      <c r="E53" s="197">
        <v>65</v>
      </c>
      <c r="F53" s="151">
        <v>0</v>
      </c>
      <c r="G53" s="173" t="s">
        <v>10</v>
      </c>
    </row>
    <row r="54" spans="2:7" s="171" customFormat="1" x14ac:dyDescent="0.5">
      <c r="B54" s="173" t="str">
        <f t="shared" si="1"/>
        <v>Exótico en Jamaica</v>
      </c>
      <c r="C54" s="173" t="s">
        <v>250</v>
      </c>
      <c r="D54" s="173" t="s">
        <v>280</v>
      </c>
      <c r="E54" s="197">
        <v>65</v>
      </c>
      <c r="F54" s="151">
        <v>0</v>
      </c>
      <c r="G54" s="173" t="s">
        <v>10</v>
      </c>
    </row>
    <row r="55" spans="2:7" s="171" customFormat="1" x14ac:dyDescent="0.5">
      <c r="B55" s="173" t="str">
        <f t="shared" si="1"/>
        <v>Mat Primas 1 en Egipto</v>
      </c>
      <c r="C55" s="173" t="s">
        <v>251</v>
      </c>
      <c r="D55" s="173" t="s">
        <v>265</v>
      </c>
      <c r="E55" s="197">
        <v>65</v>
      </c>
      <c r="F55" s="151">
        <v>0</v>
      </c>
      <c r="G55" s="173" t="s">
        <v>10</v>
      </c>
    </row>
    <row r="56" spans="2:7" s="171" customFormat="1" x14ac:dyDescent="0.5">
      <c r="B56" s="173" t="str">
        <f t="shared" si="1"/>
        <v>Mat Primas 2 en Egipto</v>
      </c>
      <c r="C56" s="173" t="s">
        <v>251</v>
      </c>
      <c r="D56" s="173" t="s">
        <v>266</v>
      </c>
      <c r="E56" s="197">
        <v>65</v>
      </c>
      <c r="F56" s="151">
        <v>0</v>
      </c>
      <c r="G56" s="173" t="s">
        <v>10</v>
      </c>
    </row>
    <row r="57" spans="2:7" s="171" customFormat="1" x14ac:dyDescent="0.5">
      <c r="B57" s="173" t="str">
        <f t="shared" si="1"/>
        <v>Comida en Egipto</v>
      </c>
      <c r="C57" s="173" t="s">
        <v>251</v>
      </c>
      <c r="D57" s="173" t="s">
        <v>92</v>
      </c>
      <c r="E57" s="197">
        <v>70</v>
      </c>
      <c r="F57" s="151">
        <v>0</v>
      </c>
      <c r="G57" s="173" t="s">
        <v>10</v>
      </c>
    </row>
    <row r="58" spans="2:7" s="171" customFormat="1" x14ac:dyDescent="0.5">
      <c r="B58" s="173" t="str">
        <f t="shared" si="1"/>
        <v>Exótico en Ghana</v>
      </c>
      <c r="C58" s="173" t="s">
        <v>282</v>
      </c>
      <c r="D58" s="173" t="s">
        <v>280</v>
      </c>
      <c r="E58" s="197">
        <v>60</v>
      </c>
      <c r="F58" s="151">
        <v>0</v>
      </c>
      <c r="G58" s="173" t="s">
        <v>10</v>
      </c>
    </row>
    <row r="59" spans="2:7" s="171" customFormat="1" x14ac:dyDescent="0.5">
      <c r="B59" s="173" t="str">
        <f t="shared" si="1"/>
        <v>Exótico en Nigeria</v>
      </c>
      <c r="C59" s="173" t="s">
        <v>252</v>
      </c>
      <c r="D59" s="173" t="s">
        <v>280</v>
      </c>
      <c r="E59" s="197">
        <v>55</v>
      </c>
      <c r="F59" s="151">
        <v>0</v>
      </c>
      <c r="G59" s="173" t="s">
        <v>10</v>
      </c>
    </row>
    <row r="60" spans="2:7" s="171" customFormat="1" x14ac:dyDescent="0.5">
      <c r="B60" s="173" t="str">
        <f t="shared" si="1"/>
        <v>Carbón en El Cabo</v>
      </c>
      <c r="C60" s="173" t="s">
        <v>284</v>
      </c>
      <c r="D60" s="173" t="s">
        <v>95</v>
      </c>
      <c r="E60" s="197">
        <v>55</v>
      </c>
      <c r="F60" s="151">
        <v>0</v>
      </c>
      <c r="G60" s="173" t="s">
        <v>120</v>
      </c>
    </row>
    <row r="61" spans="2:7" s="171" customFormat="1" x14ac:dyDescent="0.5">
      <c r="B61" s="173" t="str">
        <f t="shared" si="1"/>
        <v>Industria en El Cabo</v>
      </c>
      <c r="C61" s="173" t="s">
        <v>284</v>
      </c>
      <c r="D61" s="173" t="s">
        <v>135</v>
      </c>
      <c r="E61" s="197">
        <v>85</v>
      </c>
      <c r="F61" s="151">
        <v>0</v>
      </c>
      <c r="G61" s="173" t="s">
        <v>120</v>
      </c>
    </row>
    <row r="62" spans="2:7" s="171" customFormat="1" x14ac:dyDescent="0.5">
      <c r="B62" s="173" t="str">
        <f t="shared" si="1"/>
        <v>Exótico en Kenia</v>
      </c>
      <c r="C62" s="173" t="s">
        <v>256</v>
      </c>
      <c r="D62" s="173" t="s">
        <v>280</v>
      </c>
      <c r="E62" s="197">
        <v>60</v>
      </c>
      <c r="F62" s="151">
        <v>0</v>
      </c>
      <c r="G62" s="173" t="s">
        <v>10</v>
      </c>
    </row>
    <row r="63" spans="2:7" s="171" customFormat="1" x14ac:dyDescent="0.5">
      <c r="B63" s="173" t="str">
        <f t="shared" si="1"/>
        <v>Exótico en Malasia</v>
      </c>
      <c r="C63" s="173" t="s">
        <v>260</v>
      </c>
      <c r="D63" s="173" t="s">
        <v>280</v>
      </c>
      <c r="E63" s="197">
        <v>65</v>
      </c>
      <c r="F63" s="151">
        <v>0</v>
      </c>
      <c r="G63" s="173" t="s">
        <v>10</v>
      </c>
    </row>
    <row r="64" spans="2:7" x14ac:dyDescent="0.5">
      <c r="D64" s="284"/>
      <c r="E64" s="284"/>
      <c r="F64" s="13"/>
      <c r="G64" s="28"/>
    </row>
    <row r="65" spans="4:16" x14ac:dyDescent="0.5">
      <c r="D65" s="284"/>
      <c r="E65" s="284"/>
      <c r="F65" s="13"/>
      <c r="G65" s="28"/>
    </row>
    <row r="66" spans="4:16" x14ac:dyDescent="0.5">
      <c r="D66" s="284"/>
      <c r="E66" s="284"/>
      <c r="F66" s="13"/>
      <c r="G66" s="28"/>
    </row>
    <row r="67" spans="4:16" x14ac:dyDescent="0.5">
      <c r="D67" s="284"/>
      <c r="E67" s="284"/>
      <c r="F67" s="284"/>
      <c r="G67" s="14"/>
    </row>
    <row r="70" spans="4:16" x14ac:dyDescent="0.5">
      <c r="D70" s="284"/>
      <c r="E70" s="284"/>
      <c r="F70" s="284"/>
      <c r="G70" s="284"/>
      <c r="H70" s="284"/>
      <c r="I70" s="284"/>
      <c r="K70" s="284"/>
      <c r="L70" s="284"/>
      <c r="M70" s="284"/>
      <c r="N70" s="284"/>
      <c r="O70" s="284"/>
      <c r="P70" s="284"/>
    </row>
    <row r="74" spans="4:16" x14ac:dyDescent="0.5">
      <c r="D74" s="284"/>
      <c r="E74" s="284"/>
      <c r="F74" s="14"/>
      <c r="G74" s="28"/>
      <c r="I74" s="28"/>
    </row>
    <row r="75" spans="4:16" x14ac:dyDescent="0.5">
      <c r="D75" s="284"/>
      <c r="E75" s="284"/>
      <c r="F75" s="14"/>
      <c r="G75" s="28"/>
    </row>
    <row r="76" spans="4:16" x14ac:dyDescent="0.5">
      <c r="D76" s="284"/>
      <c r="E76" s="284"/>
      <c r="F76" s="14"/>
      <c r="G76" s="28"/>
    </row>
    <row r="77" spans="4:16" x14ac:dyDescent="0.5">
      <c r="D77" s="284"/>
      <c r="E77" s="284"/>
      <c r="F77" s="14"/>
      <c r="G77" s="28"/>
    </row>
    <row r="78" spans="4:16" x14ac:dyDescent="0.5">
      <c r="D78" s="284"/>
      <c r="E78" s="284"/>
      <c r="F78" s="13"/>
      <c r="G78" s="28"/>
      <c r="I78" s="28"/>
    </row>
    <row r="79" spans="4:16" x14ac:dyDescent="0.5">
      <c r="D79" s="284"/>
      <c r="E79" s="284"/>
      <c r="F79" s="13"/>
      <c r="G79" s="28"/>
    </row>
    <row r="80" spans="4:16" x14ac:dyDescent="0.5">
      <c r="D80" s="284"/>
      <c r="E80" s="284"/>
      <c r="F80" s="284"/>
      <c r="G80" s="14"/>
    </row>
    <row r="81" spans="2:17" x14ac:dyDescent="0.5">
      <c r="D81" s="28"/>
      <c r="G81" s="14"/>
      <c r="H81" s="28"/>
    </row>
    <row r="82" spans="2:17" ht="17.649999999999999" customHeight="1" x14ac:dyDescent="0.5">
      <c r="Q82" s="32"/>
    </row>
    <row r="83" spans="2:17" x14ac:dyDescent="0.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x14ac:dyDescent="0.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6" spans="2:17" x14ac:dyDescent="0.5">
      <c r="B86" s="28"/>
      <c r="E86" s="28"/>
    </row>
    <row r="87" spans="2:17" x14ac:dyDescent="0.5">
      <c r="C87" s="28"/>
    </row>
    <row r="88" spans="2:17" x14ac:dyDescent="0.5">
      <c r="D88" s="284"/>
      <c r="E88" s="284"/>
      <c r="F88" s="284"/>
      <c r="G88" s="284"/>
      <c r="H88" s="284"/>
      <c r="I88" s="284"/>
      <c r="K88" s="284"/>
      <c r="L88" s="284"/>
      <c r="M88" s="284"/>
      <c r="N88" s="284"/>
      <c r="O88" s="284"/>
      <c r="P88" s="284"/>
    </row>
    <row r="91" spans="2:17" x14ac:dyDescent="0.5">
      <c r="D91" s="28"/>
    </row>
    <row r="92" spans="2:17" x14ac:dyDescent="0.5">
      <c r="D92" s="284"/>
      <c r="E92" s="284"/>
      <c r="F92" s="14"/>
      <c r="G92" s="28"/>
    </row>
    <row r="93" spans="2:17" x14ac:dyDescent="0.5">
      <c r="D93" s="284"/>
      <c r="E93" s="284"/>
      <c r="F93" s="14"/>
    </row>
    <row r="94" spans="2:17" x14ac:dyDescent="0.5">
      <c r="D94" s="284"/>
      <c r="E94" s="284"/>
      <c r="F94" s="13"/>
    </row>
    <row r="95" spans="2:17" x14ac:dyDescent="0.5">
      <c r="D95" s="284"/>
      <c r="E95" s="284"/>
      <c r="F95" s="13"/>
    </row>
    <row r="96" spans="2:17" x14ac:dyDescent="0.5">
      <c r="D96" s="284"/>
      <c r="E96" s="284"/>
      <c r="F96" s="284"/>
      <c r="G96" s="14"/>
    </row>
    <row r="97" spans="4:17" ht="17.649999999999999" customHeight="1" x14ac:dyDescent="0.5">
      <c r="Q97" s="34"/>
    </row>
    <row r="98" spans="4:17" x14ac:dyDescent="0.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4:17" x14ac:dyDescent="0.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2" spans="4:17" x14ac:dyDescent="0.5">
      <c r="E102" s="14"/>
    </row>
    <row r="103" spans="4:17" x14ac:dyDescent="0.5">
      <c r="D103" s="284"/>
      <c r="E103" s="284"/>
      <c r="F103" s="284"/>
      <c r="G103" s="284"/>
      <c r="H103" s="284"/>
      <c r="I103" s="284"/>
      <c r="K103" s="284"/>
      <c r="L103" s="284"/>
      <c r="M103" s="284"/>
      <c r="N103" s="284"/>
      <c r="O103" s="284"/>
      <c r="P103" s="284"/>
    </row>
    <row r="107" spans="4:17" x14ac:dyDescent="0.5">
      <c r="D107" s="284"/>
      <c r="E107" s="284"/>
    </row>
    <row r="108" spans="4:17" x14ac:dyDescent="0.5">
      <c r="D108" s="284"/>
      <c r="E108" s="284"/>
      <c r="F108" s="14"/>
    </row>
    <row r="111" spans="4:17" x14ac:dyDescent="0.5">
      <c r="E111" s="14"/>
      <c r="F111" s="28"/>
      <c r="J111" s="28"/>
    </row>
    <row r="112" spans="4:17" x14ac:dyDescent="0.5">
      <c r="D112" s="284"/>
      <c r="E112" s="284"/>
      <c r="F112" s="284"/>
      <c r="G112" s="284"/>
      <c r="H112" s="284"/>
      <c r="I112" s="284"/>
      <c r="K112" s="284"/>
      <c r="L112" s="284"/>
      <c r="M112" s="284"/>
      <c r="N112" s="284"/>
      <c r="O112" s="284"/>
      <c r="P112" s="284"/>
    </row>
    <row r="116" spans="2:17" x14ac:dyDescent="0.5">
      <c r="D116" s="284"/>
      <c r="E116" s="284"/>
      <c r="F116" s="14"/>
      <c r="H116" s="28"/>
    </row>
    <row r="117" spans="2:17" x14ac:dyDescent="0.5">
      <c r="D117" s="284"/>
      <c r="E117" s="284"/>
      <c r="F117" s="14"/>
    </row>
    <row r="118" spans="2:17" x14ac:dyDescent="0.5">
      <c r="D118" s="284"/>
      <c r="E118" s="284"/>
      <c r="F118" s="13"/>
    </row>
    <row r="119" spans="2:17" x14ac:dyDescent="0.5">
      <c r="D119" s="284"/>
      <c r="E119" s="284"/>
      <c r="F119" s="284"/>
      <c r="G119" s="14"/>
    </row>
    <row r="120" spans="2:17" ht="18.75" customHeight="1" x14ac:dyDescent="0.5">
      <c r="Q120" s="34"/>
    </row>
    <row r="121" spans="2:17" x14ac:dyDescent="0.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2:17" x14ac:dyDescent="0.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2:17" x14ac:dyDescent="0.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5" spans="2:17" x14ac:dyDescent="0.5">
      <c r="B125" s="28"/>
    </row>
    <row r="126" spans="2:17" x14ac:dyDescent="0.5">
      <c r="C126" s="28"/>
      <c r="I126" s="14"/>
    </row>
    <row r="128" spans="2:17" x14ac:dyDescent="0.5">
      <c r="E128" s="14"/>
      <c r="F128" s="28"/>
    </row>
    <row r="130" spans="4:16" x14ac:dyDescent="0.5">
      <c r="D130" s="284"/>
      <c r="E130" s="284"/>
      <c r="F130" s="14"/>
    </row>
    <row r="132" spans="4:16" x14ac:dyDescent="0.5">
      <c r="E132" s="14"/>
    </row>
    <row r="135" spans="4:16" x14ac:dyDescent="0.5">
      <c r="E135" s="14"/>
      <c r="F135" s="28"/>
    </row>
    <row r="136" spans="4:16" x14ac:dyDescent="0.5">
      <c r="D136" s="28"/>
    </row>
    <row r="137" spans="4:16" x14ac:dyDescent="0.5">
      <c r="D137" s="284"/>
      <c r="E137" s="284"/>
      <c r="F137" s="14"/>
      <c r="G137" s="28"/>
      <c r="I137" s="28"/>
    </row>
    <row r="138" spans="4:16" x14ac:dyDescent="0.5">
      <c r="D138" s="284"/>
      <c r="E138" s="284"/>
      <c r="F138" s="14"/>
      <c r="G138" s="28"/>
    </row>
    <row r="139" spans="4:16" x14ac:dyDescent="0.5">
      <c r="D139" s="284"/>
      <c r="E139" s="284"/>
      <c r="F139" s="14"/>
      <c r="G139" s="28"/>
    </row>
    <row r="140" spans="4:16" x14ac:dyDescent="0.5">
      <c r="D140" s="284"/>
      <c r="E140" s="284"/>
      <c r="F140" s="14"/>
      <c r="G140" s="14"/>
      <c r="I140" s="28"/>
    </row>
    <row r="141" spans="4:16" x14ac:dyDescent="0.5"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</row>
    <row r="142" spans="4:16" x14ac:dyDescent="0.5">
      <c r="E142" s="14"/>
      <c r="F142" s="28"/>
    </row>
    <row r="143" spans="4:16" x14ac:dyDescent="0.5">
      <c r="D143" s="284"/>
      <c r="E143" s="284"/>
    </row>
    <row r="144" spans="4:16" x14ac:dyDescent="0.5">
      <c r="D144" s="284"/>
      <c r="E144" s="284"/>
      <c r="F144" s="14"/>
      <c r="H144" s="28"/>
    </row>
    <row r="145" spans="4:16" x14ac:dyDescent="0.5">
      <c r="D145" s="284"/>
      <c r="E145" s="284"/>
      <c r="F145" s="284"/>
      <c r="G145" s="284"/>
      <c r="H145" s="284"/>
      <c r="I145" s="284"/>
      <c r="K145" s="284"/>
      <c r="L145" s="284"/>
      <c r="M145" s="284"/>
      <c r="N145" s="284"/>
      <c r="O145" s="284"/>
      <c r="P145" s="284"/>
    </row>
    <row r="148" spans="4:16" x14ac:dyDescent="0.5">
      <c r="G148" s="14"/>
    </row>
    <row r="149" spans="4:16" x14ac:dyDescent="0.5">
      <c r="G149" s="14"/>
    </row>
    <row r="150" spans="4:16" x14ac:dyDescent="0.5">
      <c r="E150" s="14"/>
      <c r="G150" s="14"/>
    </row>
    <row r="152" spans="4:16" x14ac:dyDescent="0.5">
      <c r="E152" s="14"/>
    </row>
    <row r="154" spans="4:16" x14ac:dyDescent="0.5">
      <c r="G154" s="14"/>
    </row>
    <row r="157" spans="4:16" x14ac:dyDescent="0.5">
      <c r="E157" s="14"/>
    </row>
    <row r="158" spans="4:16" x14ac:dyDescent="0.5">
      <c r="D158" s="284"/>
      <c r="E158" s="284"/>
    </row>
    <row r="159" spans="4:16" x14ac:dyDescent="0.5">
      <c r="D159" s="284"/>
      <c r="E159" s="284"/>
      <c r="F159" s="14"/>
    </row>
    <row r="161" spans="2:16" x14ac:dyDescent="0.5">
      <c r="B161" s="36"/>
    </row>
    <row r="162" spans="2:16" x14ac:dyDescent="0.5">
      <c r="B162" s="36"/>
      <c r="C162" s="36"/>
      <c r="F162" s="36"/>
    </row>
    <row r="163" spans="2:16" x14ac:dyDescent="0.5">
      <c r="B163" s="36"/>
      <c r="C163" s="36"/>
    </row>
    <row r="164" spans="2:16" x14ac:dyDescent="0.5">
      <c r="B164" s="36"/>
      <c r="C164" s="36"/>
    </row>
    <row r="165" spans="2:16" x14ac:dyDescent="0.5">
      <c r="B165" s="36"/>
      <c r="C165" s="36"/>
    </row>
    <row r="166" spans="2:16" x14ac:dyDescent="0.5">
      <c r="C166" s="36"/>
    </row>
    <row r="169" spans="2:16" x14ac:dyDescent="0.5">
      <c r="D169" s="28"/>
      <c r="K169" s="28"/>
    </row>
    <row r="170" spans="2:16" x14ac:dyDescent="0.5">
      <c r="B170" s="37"/>
      <c r="D170" s="284"/>
      <c r="E170" s="284"/>
      <c r="F170" s="284"/>
      <c r="G170" s="284"/>
      <c r="H170" s="284"/>
      <c r="I170" s="284"/>
      <c r="K170" s="284"/>
      <c r="L170" s="284"/>
      <c r="M170" s="284"/>
      <c r="N170" s="284"/>
      <c r="O170" s="284"/>
      <c r="P170" s="284"/>
    </row>
    <row r="171" spans="2:16" x14ac:dyDescent="0.5">
      <c r="C171" s="37"/>
    </row>
    <row r="175" spans="2:16" x14ac:dyDescent="0.5">
      <c r="D175" s="284"/>
      <c r="E175" s="284"/>
      <c r="F175" s="284"/>
      <c r="G175" s="284"/>
      <c r="H175" s="284"/>
      <c r="I175" s="284"/>
      <c r="K175" s="284"/>
      <c r="L175" s="284"/>
      <c r="M175" s="284"/>
      <c r="N175" s="284"/>
      <c r="O175" s="284"/>
      <c r="P175" s="284"/>
    </row>
    <row r="178" spans="2:16" x14ac:dyDescent="0.5">
      <c r="B178" s="28"/>
    </row>
    <row r="179" spans="2:16" x14ac:dyDescent="0.5">
      <c r="C179" s="28"/>
      <c r="D179" s="28"/>
      <c r="F179" s="38"/>
    </row>
    <row r="181" spans="2:16" x14ac:dyDescent="0.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2:16" x14ac:dyDescent="0.5">
      <c r="D182" s="284"/>
      <c r="E182" s="284"/>
      <c r="F182" s="284"/>
      <c r="G182" s="284"/>
      <c r="H182" s="284"/>
      <c r="I182" s="284"/>
      <c r="K182" s="284"/>
      <c r="L182" s="284"/>
      <c r="M182" s="284"/>
      <c r="N182" s="284"/>
      <c r="O182" s="284"/>
      <c r="P182" s="284"/>
    </row>
    <row r="186" spans="2:16" x14ac:dyDescent="0.5">
      <c r="E186" s="14"/>
      <c r="F186" s="28"/>
    </row>
  </sheetData>
  <sheetProtection algorithmName="SHA-512" hashValue="kSZZ0fPXQ+015me+y+w5EOmPQ/atQ4iy5+ZPbTsyeUx5ZTK/51TMmm6vfiP3QITOEOc+AeAuHRBozJX5AkDxyA==" saltValue="Y68yITI/5Ho9mXP9xKVWWQ==" spinCount="100000" sheet="1" objects="1" scenarios="1"/>
  <mergeCells count="55">
    <mergeCell ref="D182:I182"/>
    <mergeCell ref="K182:P182"/>
    <mergeCell ref="K145:P145"/>
    <mergeCell ref="D67:F67"/>
    <mergeCell ref="D70:I70"/>
    <mergeCell ref="K70:P70"/>
    <mergeCell ref="D74:E74"/>
    <mergeCell ref="K88:P88"/>
    <mergeCell ref="D92:E92"/>
    <mergeCell ref="D93:E93"/>
    <mergeCell ref="D94:E94"/>
    <mergeCell ref="D76:E76"/>
    <mergeCell ref="D130:E130"/>
    <mergeCell ref="D143:E143"/>
    <mergeCell ref="D137:E137"/>
    <mergeCell ref="D75:E75"/>
    <mergeCell ref="B1:P1"/>
    <mergeCell ref="K9:P9"/>
    <mergeCell ref="D64:E64"/>
    <mergeCell ref="D66:E66"/>
    <mergeCell ref="B5:B6"/>
    <mergeCell ref="K5:P5"/>
    <mergeCell ref="D65:E65"/>
    <mergeCell ref="C5:I5"/>
    <mergeCell ref="C9:H9"/>
    <mergeCell ref="B35:G35"/>
    <mergeCell ref="D77:E77"/>
    <mergeCell ref="D95:E95"/>
    <mergeCell ref="D96:F96"/>
    <mergeCell ref="D78:E78"/>
    <mergeCell ref="D79:E79"/>
    <mergeCell ref="D80:F80"/>
    <mergeCell ref="D88:I88"/>
    <mergeCell ref="D103:I103"/>
    <mergeCell ref="D138:E138"/>
    <mergeCell ref="D141:P141"/>
    <mergeCell ref="D139:E139"/>
    <mergeCell ref="D140:E140"/>
    <mergeCell ref="K103:P103"/>
    <mergeCell ref="D108:E108"/>
    <mergeCell ref="D107:E107"/>
    <mergeCell ref="D119:F119"/>
    <mergeCell ref="D112:I112"/>
    <mergeCell ref="K112:P112"/>
    <mergeCell ref="D116:E116"/>
    <mergeCell ref="D117:E117"/>
    <mergeCell ref="D118:E118"/>
    <mergeCell ref="D158:E158"/>
    <mergeCell ref="D144:E144"/>
    <mergeCell ref="D145:I145"/>
    <mergeCell ref="D175:I175"/>
    <mergeCell ref="K175:P175"/>
    <mergeCell ref="D170:I170"/>
    <mergeCell ref="K170:P170"/>
    <mergeCell ref="D159:E159"/>
  </mergeCells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I36"/>
  <sheetViews>
    <sheetView showGridLines="0" workbookViewId="0"/>
  </sheetViews>
  <sheetFormatPr defaultColWidth="9.1328125" defaultRowHeight="12.75" x14ac:dyDescent="0.35"/>
  <cols>
    <col min="6" max="6" width="40" bestFit="1" customWidth="1"/>
  </cols>
  <sheetData>
    <row r="1" spans="1:9" x14ac:dyDescent="0.35">
      <c r="C1" s="71" t="s">
        <v>2</v>
      </c>
      <c r="D1" s="69">
        <f>SUM(D4:D46)</f>
        <v>0</v>
      </c>
    </row>
    <row r="2" spans="1:9" s="26" customFormat="1" ht="13.15" thickBot="1" x14ac:dyDescent="0.4"/>
    <row r="3" spans="1:9" s="26" customFormat="1" x14ac:dyDescent="0.35">
      <c r="A3" s="295" t="s">
        <v>232</v>
      </c>
      <c r="B3" s="295"/>
      <c r="C3" s="295"/>
      <c r="D3" s="295"/>
      <c r="F3" s="296" t="s">
        <v>233</v>
      </c>
      <c r="G3" s="297"/>
      <c r="H3" s="298"/>
    </row>
    <row r="4" spans="1:9" x14ac:dyDescent="0.35">
      <c r="A4" s="295" t="s">
        <v>227</v>
      </c>
      <c r="B4" s="295"/>
      <c r="C4" s="295"/>
      <c r="D4" s="69" t="s">
        <v>228</v>
      </c>
      <c r="F4" s="74" t="s">
        <v>227</v>
      </c>
      <c r="G4" s="72" t="s">
        <v>117</v>
      </c>
      <c r="H4" s="75" t="s">
        <v>123</v>
      </c>
    </row>
    <row r="5" spans="1:9" x14ac:dyDescent="0.35">
      <c r="A5" s="295" t="s">
        <v>343</v>
      </c>
      <c r="B5" s="295"/>
      <c r="C5" s="295"/>
      <c r="D5" s="69">
        <v>0</v>
      </c>
      <c r="F5" s="74" t="s">
        <v>342</v>
      </c>
      <c r="G5" s="73">
        <v>45</v>
      </c>
      <c r="H5" s="75">
        <v>4</v>
      </c>
    </row>
    <row r="6" spans="1:9" x14ac:dyDescent="0.35">
      <c r="A6" s="295" t="s">
        <v>327</v>
      </c>
      <c r="B6" s="295"/>
      <c r="C6" s="295"/>
      <c r="D6" s="69">
        <v>0</v>
      </c>
      <c r="F6" s="74" t="s">
        <v>275</v>
      </c>
      <c r="G6" s="73">
        <v>40</v>
      </c>
      <c r="H6" s="75">
        <v>2</v>
      </c>
    </row>
    <row r="7" spans="1:9" x14ac:dyDescent="0.35">
      <c r="A7" s="295"/>
      <c r="B7" s="295"/>
      <c r="C7" s="295"/>
      <c r="D7" s="70"/>
      <c r="F7" s="74" t="s">
        <v>276</v>
      </c>
      <c r="G7" s="73">
        <v>60</v>
      </c>
      <c r="H7" s="75">
        <v>3</v>
      </c>
    </row>
    <row r="8" spans="1:9" x14ac:dyDescent="0.35">
      <c r="A8" s="295"/>
      <c r="B8" s="295"/>
      <c r="C8" s="295"/>
      <c r="D8" s="70"/>
      <c r="F8" s="74" t="s">
        <v>279</v>
      </c>
      <c r="G8" s="73">
        <v>60</v>
      </c>
      <c r="H8" s="75">
        <v>3</v>
      </c>
    </row>
    <row r="9" spans="1:9" x14ac:dyDescent="0.35">
      <c r="A9" s="295"/>
      <c r="B9" s="295"/>
      <c r="C9" s="295"/>
      <c r="D9" s="69"/>
      <c r="F9" s="74" t="s">
        <v>281</v>
      </c>
      <c r="G9" s="73">
        <v>60</v>
      </c>
      <c r="H9" s="75">
        <v>2</v>
      </c>
    </row>
    <row r="10" spans="1:9" x14ac:dyDescent="0.35">
      <c r="A10" s="295"/>
      <c r="B10" s="295"/>
      <c r="C10" s="295"/>
      <c r="D10" s="70"/>
      <c r="F10" s="74" t="s">
        <v>283</v>
      </c>
      <c r="G10" s="73">
        <v>35</v>
      </c>
      <c r="H10" s="75">
        <v>3</v>
      </c>
    </row>
    <row r="11" spans="1:9" x14ac:dyDescent="0.35">
      <c r="A11" s="295"/>
      <c r="B11" s="295"/>
      <c r="C11" s="295"/>
      <c r="D11" s="69"/>
      <c r="F11" s="74" t="s">
        <v>328</v>
      </c>
      <c r="G11" s="73">
        <v>45</v>
      </c>
      <c r="H11" s="75">
        <v>1</v>
      </c>
    </row>
    <row r="12" spans="1:9" x14ac:dyDescent="0.35">
      <c r="A12" s="295"/>
      <c r="B12" s="295"/>
      <c r="C12" s="295"/>
      <c r="D12" s="69"/>
      <c r="F12" s="74" t="s">
        <v>285</v>
      </c>
      <c r="G12" s="73">
        <v>45</v>
      </c>
      <c r="H12" s="75">
        <v>2</v>
      </c>
    </row>
    <row r="13" spans="1:9" x14ac:dyDescent="0.35">
      <c r="A13" s="295"/>
      <c r="B13" s="295"/>
      <c r="C13" s="295"/>
      <c r="D13" s="69"/>
      <c r="F13" s="74" t="s">
        <v>344</v>
      </c>
      <c r="G13" s="73">
        <v>40</v>
      </c>
      <c r="H13" s="75">
        <v>2</v>
      </c>
      <c r="I13">
        <v>3</v>
      </c>
    </row>
    <row r="14" spans="1:9" ht="13.15" thickBot="1" x14ac:dyDescent="0.4">
      <c r="A14" s="295"/>
      <c r="B14" s="295"/>
      <c r="C14" s="295"/>
      <c r="D14" s="69"/>
      <c r="F14" s="76" t="s">
        <v>345</v>
      </c>
      <c r="G14" s="167">
        <v>45</v>
      </c>
      <c r="H14" s="77">
        <v>2</v>
      </c>
    </row>
    <row r="15" spans="1:9" x14ac:dyDescent="0.35">
      <c r="D15" s="27"/>
    </row>
    <row r="16" spans="1:9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</sheetData>
  <sheetProtection algorithmName="SHA-512" hashValue="wfBoRIBWL/1WDm1rm7rIp5JUg156dg+zqkdXr09taY4R9sVEstCeL5RseGhibPTQyQ33uN5FpyKc0XICJ/Qfhg==" saltValue="GK/AdG3PiBUrgtGFcvraOQ==" spinCount="100000" sheet="1" objects="1" scenarios="1"/>
  <mergeCells count="13">
    <mergeCell ref="A13:C13"/>
    <mergeCell ref="A14:C14"/>
    <mergeCell ref="A4:C4"/>
    <mergeCell ref="A5:C5"/>
    <mergeCell ref="A6:C6"/>
    <mergeCell ref="A7:C7"/>
    <mergeCell ref="A8:C8"/>
    <mergeCell ref="A9:C9"/>
    <mergeCell ref="A3:D3"/>
    <mergeCell ref="F3:H3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25</v>
      </c>
      <c r="I1" s="299" t="s">
        <v>26</v>
      </c>
      <c r="P1" s="299" t="s">
        <v>29</v>
      </c>
      <c r="Q1" s="299" t="s">
        <v>30</v>
      </c>
    </row>
    <row r="2" spans="1:21" x14ac:dyDescent="0.5">
      <c r="I2" s="299"/>
      <c r="J2" s="1" t="s">
        <v>16</v>
      </c>
      <c r="K2" s="1" t="s">
        <v>17</v>
      </c>
      <c r="L2" s="1" t="s">
        <v>18</v>
      </c>
      <c r="M2" s="1" t="s">
        <v>19</v>
      </c>
      <c r="N2" s="1" t="s">
        <v>27</v>
      </c>
      <c r="O2" s="1" t="s">
        <v>28</v>
      </c>
      <c r="P2" s="299"/>
      <c r="Q2" s="299"/>
      <c r="T2" s="1" t="s">
        <v>42</v>
      </c>
    </row>
    <row r="3" spans="1:21" x14ac:dyDescent="0.5">
      <c r="B3" s="1" t="s">
        <v>9</v>
      </c>
      <c r="D3" s="1" t="s">
        <v>8</v>
      </c>
      <c r="I3" s="1" t="s">
        <v>12</v>
      </c>
      <c r="J3" s="1">
        <f>IF(Econ!C135&gt;0,(VLOOKUP(Econ!D135,Land_Builds,2)*Econ!C135),0)</f>
        <v>0</v>
      </c>
      <c r="K3" s="1">
        <f>IF(Econ!E135&gt;0,(VLOOKUP(Econ!F135,Land_Builds,3)*Econ!E135),0)</f>
        <v>0</v>
      </c>
      <c r="L3" s="1">
        <f>IF(Econ!G135&gt;0,(VLOOKUP(Econ!H135,Land_Builds,4)*Econ!G135),0)</f>
        <v>0</v>
      </c>
      <c r="M3" s="1">
        <f>IF(Econ!I135&gt;0,(VLOOKUP(Econ!J135,Land_Builds,5)*Econ!I135),0)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20</v>
      </c>
      <c r="I4" s="1" t="s">
        <v>13</v>
      </c>
      <c r="J4" s="1">
        <f>IF(Econ!C136&gt;0,(VLOOKUP(Econ!D136,Land_Builds,2)*Econ!C136),0)</f>
        <v>0</v>
      </c>
      <c r="K4" s="1">
        <f>IF(Econ!E136&gt;0,(VLOOKUP(Econ!F136,Land_Builds,3)*Econ!E136),0)</f>
        <v>0</v>
      </c>
      <c r="L4" s="1">
        <f>IF(Econ!G136&gt;0,(VLOOKUP(Econ!H136,Land_Builds,4)*Econ!G136),0)</f>
        <v>0</v>
      </c>
      <c r="M4" s="1">
        <f>IF(Econ!I136&gt;0,(VLOOKUP(Econ!J136,Land_Builds,5)*Econ!I136),0)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183</v>
      </c>
      <c r="U4" s="2">
        <v>20</v>
      </c>
    </row>
    <row r="5" spans="1:21" x14ac:dyDescent="0.5">
      <c r="B5" s="1" t="s">
        <v>10</v>
      </c>
      <c r="D5" s="1" t="s">
        <v>21</v>
      </c>
      <c r="I5" s="1" t="s">
        <v>14</v>
      </c>
      <c r="J5" s="1">
        <f>IF(Econ!C137&gt;0,(VLOOKUP(Econ!D137,Land_Builds,2)*Econ!C137),0)</f>
        <v>0</v>
      </c>
      <c r="K5" s="1">
        <f>IF(Econ!E137&gt;0,(VLOOKUP(Econ!F137,Land_Builds,3)*Econ!E137),0)</f>
        <v>0</v>
      </c>
      <c r="L5" s="1">
        <f>IF(Econ!G137&gt;0,(VLOOKUP(Econ!H137,Land_Builds,4)*Econ!G137),0)</f>
        <v>0</v>
      </c>
      <c r="M5" s="1">
        <f>IF(Econ!I137&gt;0,(VLOOKUP(Econ!J137,Land_Builds,5)*Econ!I137),0)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184</v>
      </c>
      <c r="U5" s="2">
        <v>30</v>
      </c>
    </row>
    <row r="6" spans="1:21" x14ac:dyDescent="0.5">
      <c r="B6" s="1" t="s">
        <v>120</v>
      </c>
      <c r="D6" s="1" t="s">
        <v>22</v>
      </c>
      <c r="I6" s="1" t="s">
        <v>15</v>
      </c>
      <c r="J6" s="1">
        <f>IF(Econ!C138&gt;0,(VLOOKUP(Econ!D138,Land_Builds,2)*Econ!C138),0)</f>
        <v>0</v>
      </c>
      <c r="K6" s="1">
        <f>IF(Econ!E138&gt;0,(VLOOKUP(Econ!F138,Land_Builds,3)*Econ!E138),0)</f>
        <v>0</v>
      </c>
      <c r="L6" s="1">
        <f>IF(Econ!G138&gt;0,(VLOOKUP(Econ!H138,Land_Builds,4)*Econ!G138),0)</f>
        <v>0</v>
      </c>
      <c r="M6" s="1">
        <f>IF(Econ!I138&gt;0,(VLOOKUP(Econ!J138,Land_Builds,5)*Econ!I138),0)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185</v>
      </c>
      <c r="U6" s="2">
        <v>20</v>
      </c>
    </row>
    <row r="7" spans="1:21" x14ac:dyDescent="0.5">
      <c r="D7" s="1" t="s">
        <v>23</v>
      </c>
      <c r="T7" s="1" t="s">
        <v>186</v>
      </c>
      <c r="U7" s="2">
        <v>5</v>
      </c>
    </row>
    <row r="8" spans="1:21" x14ac:dyDescent="0.5">
      <c r="D8" s="1" t="s">
        <v>24</v>
      </c>
    </row>
    <row r="9" spans="1:21" x14ac:dyDescent="0.5">
      <c r="I9" s="1" t="s">
        <v>6</v>
      </c>
    </row>
    <row r="10" spans="1:21" x14ac:dyDescent="0.5">
      <c r="I10" s="1" t="s">
        <v>6</v>
      </c>
      <c r="J10" s="1" t="s">
        <v>6</v>
      </c>
      <c r="K10" s="1" t="s">
        <v>6</v>
      </c>
      <c r="L10" s="1" t="s">
        <v>6</v>
      </c>
    </row>
    <row r="11" spans="1:21" x14ac:dyDescent="0.5">
      <c r="B11" s="5" t="s">
        <v>11</v>
      </c>
      <c r="J11" s="300" t="s">
        <v>45</v>
      </c>
      <c r="K11" s="300"/>
      <c r="L11" s="300"/>
      <c r="M11" s="300"/>
      <c r="N11" s="300"/>
      <c r="Q11" s="1" t="s">
        <v>47</v>
      </c>
    </row>
    <row r="12" spans="1:21" x14ac:dyDescent="0.5">
      <c r="B12" s="1" t="s">
        <v>25</v>
      </c>
      <c r="C12" s="1" t="s">
        <v>16</v>
      </c>
      <c r="D12" s="1" t="s">
        <v>17</v>
      </c>
      <c r="E12" s="1" t="s">
        <v>18</v>
      </c>
      <c r="F12" s="1" t="s">
        <v>19</v>
      </c>
      <c r="I12" s="1" t="s">
        <v>6</v>
      </c>
      <c r="K12" s="1" t="s">
        <v>4</v>
      </c>
      <c r="L12" s="1" t="s">
        <v>0</v>
      </c>
      <c r="M12" s="1" t="s">
        <v>1</v>
      </c>
      <c r="N12" s="1" t="s">
        <v>46</v>
      </c>
      <c r="P12" s="1" t="s">
        <v>48</v>
      </c>
      <c r="Q12" s="1">
        <f>ROUNDUP(Econ!B4,0)</f>
        <v>34</v>
      </c>
    </row>
    <row r="13" spans="1:21" x14ac:dyDescent="0.5">
      <c r="A13" s="1" t="s">
        <v>6</v>
      </c>
      <c r="B13" s="1" t="s">
        <v>8</v>
      </c>
      <c r="C13" s="1">
        <v>4</v>
      </c>
      <c r="D13" s="1">
        <v>4</v>
      </c>
      <c r="E13" s="1">
        <v>8</v>
      </c>
      <c r="F13" s="1">
        <v>18</v>
      </c>
      <c r="J13" s="29" t="s">
        <v>71</v>
      </c>
      <c r="K13" s="9">
        <v>4.5</v>
      </c>
      <c r="L13" s="8">
        <v>2</v>
      </c>
      <c r="M13" s="1">
        <v>5</v>
      </c>
      <c r="N13" s="9">
        <v>13.5</v>
      </c>
      <c r="P13" s="1" t="s">
        <v>49</v>
      </c>
      <c r="Q13" s="1">
        <f>Militar!B25+Militar!D25+Militar!H25+Militar!J25</f>
        <v>27</v>
      </c>
    </row>
    <row r="14" spans="1:21" x14ac:dyDescent="0.5">
      <c r="B14" s="1" t="s">
        <v>20</v>
      </c>
      <c r="C14" s="1">
        <v>4</v>
      </c>
      <c r="D14" s="1">
        <v>4</v>
      </c>
      <c r="E14" s="1">
        <v>7</v>
      </c>
      <c r="F14" s="1">
        <v>16</v>
      </c>
      <c r="J14" s="29" t="s">
        <v>68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51</v>
      </c>
    </row>
    <row r="15" spans="1:21" x14ac:dyDescent="0.5">
      <c r="B15" s="1" t="s">
        <v>21</v>
      </c>
      <c r="C15" s="1">
        <v>3</v>
      </c>
      <c r="D15" s="1">
        <v>3</v>
      </c>
      <c r="E15" s="1">
        <v>6</v>
      </c>
      <c r="F15" s="1">
        <v>14</v>
      </c>
      <c r="J15" s="29" t="s">
        <v>66</v>
      </c>
      <c r="K15" s="9">
        <v>7.5</v>
      </c>
      <c r="L15" s="8">
        <v>2.75</v>
      </c>
      <c r="M15" s="1">
        <v>10</v>
      </c>
      <c r="N15" s="9">
        <v>5</v>
      </c>
      <c r="P15" s="1" t="s">
        <v>50</v>
      </c>
      <c r="Q15" s="1">
        <f>IF(Militar!B29="Yes",5,0)</f>
        <v>0</v>
      </c>
    </row>
    <row r="16" spans="1:21" x14ac:dyDescent="0.5">
      <c r="B16" s="1" t="s">
        <v>22</v>
      </c>
      <c r="C16" s="1">
        <v>3</v>
      </c>
      <c r="D16" s="1">
        <v>3</v>
      </c>
      <c r="E16" s="1">
        <v>6</v>
      </c>
      <c r="F16" s="1">
        <v>12</v>
      </c>
      <c r="J16" s="29" t="s">
        <v>44</v>
      </c>
      <c r="K16" s="9">
        <v>6</v>
      </c>
      <c r="L16" s="8">
        <v>2.5</v>
      </c>
      <c r="M16" s="1">
        <v>7</v>
      </c>
      <c r="N16" s="9">
        <v>8</v>
      </c>
      <c r="P16" s="25" t="s">
        <v>51</v>
      </c>
      <c r="Q16" s="25">
        <f>IF(Q13&gt;Q14,5,0)</f>
        <v>0</v>
      </c>
      <c r="R16" s="25">
        <f>IF(Q13&lt;Q12,-5,0)</f>
        <v>-5</v>
      </c>
      <c r="S16" s="25">
        <f>IF(Q13&gt;(Q12*2),5,0)</f>
        <v>0</v>
      </c>
    </row>
    <row r="17" spans="2:19" x14ac:dyDescent="0.5">
      <c r="B17" s="1" t="s">
        <v>23</v>
      </c>
      <c r="C17" s="1">
        <v>3</v>
      </c>
      <c r="D17" s="1">
        <v>3</v>
      </c>
      <c r="E17" s="1">
        <v>6</v>
      </c>
      <c r="F17" s="1">
        <v>12</v>
      </c>
      <c r="J17" s="29" t="s">
        <v>69</v>
      </c>
      <c r="K17" s="9">
        <v>5.5</v>
      </c>
      <c r="L17" s="8">
        <v>2.25</v>
      </c>
      <c r="M17" s="1">
        <v>6</v>
      </c>
      <c r="N17" s="9">
        <v>9.5</v>
      </c>
      <c r="P17" s="25" t="s">
        <v>52</v>
      </c>
      <c r="Q17" s="25">
        <f>10+Q15+Q16+R16</f>
        <v>5</v>
      </c>
      <c r="R17" s="25"/>
      <c r="S17" s="25"/>
    </row>
    <row r="18" spans="2:19" x14ac:dyDescent="0.5">
      <c r="B18" s="1" t="s">
        <v>24</v>
      </c>
      <c r="C18" s="1">
        <v>3</v>
      </c>
      <c r="D18" s="1">
        <v>3</v>
      </c>
      <c r="E18" s="1">
        <v>6</v>
      </c>
      <c r="F18" s="1">
        <v>12</v>
      </c>
      <c r="J18" s="29" t="s">
        <v>67</v>
      </c>
      <c r="K18" s="9">
        <v>7</v>
      </c>
      <c r="L18" s="8">
        <v>2.75</v>
      </c>
      <c r="M18" s="1">
        <v>9</v>
      </c>
      <c r="N18" s="9">
        <v>6.5</v>
      </c>
      <c r="P18" s="25" t="s">
        <v>53</v>
      </c>
      <c r="Q18" s="25">
        <f>10+Q15+R16+S16</f>
        <v>5</v>
      </c>
      <c r="R18" s="25"/>
      <c r="S18" s="25"/>
    </row>
    <row r="19" spans="2:19" x14ac:dyDescent="0.5">
      <c r="J19" s="29" t="s">
        <v>70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31</v>
      </c>
    </row>
    <row r="22" spans="2:19" x14ac:dyDescent="0.5">
      <c r="B22" s="1" t="s">
        <v>25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J22" s="1" t="s">
        <v>68</v>
      </c>
      <c r="M22" s="1" t="s">
        <v>54</v>
      </c>
    </row>
    <row r="23" spans="2:19" x14ac:dyDescent="0.5">
      <c r="B23" s="1" t="s">
        <v>8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66</v>
      </c>
      <c r="M23" s="6"/>
    </row>
    <row r="24" spans="2:19" x14ac:dyDescent="0.5">
      <c r="B24" s="1" t="s">
        <v>20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67</v>
      </c>
      <c r="M24" s="1" t="str">
        <f>Econ!A81</f>
        <v>Industria</v>
      </c>
      <c r="O24" s="4">
        <f>Econ!C81+Econ!E81</f>
        <v>0.33</v>
      </c>
      <c r="P24" s="4">
        <f>IF(Econ!F81&lt;1,1,((O24-1)/Econ!E81))</f>
        <v>-2.0303030303030298</v>
      </c>
      <c r="Q24" s="4">
        <f>1-P24</f>
        <v>3.0303030303030298</v>
      </c>
    </row>
    <row r="25" spans="2:19" x14ac:dyDescent="0.5">
      <c r="B25" s="1" t="s">
        <v>21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44</v>
      </c>
      <c r="M25" s="6" t="e">
        <f>Econ!#REF!</f>
        <v>#REF!</v>
      </c>
      <c r="O25" s="4" t="e">
        <f>Econ!#REF!+Econ!#REF!</f>
        <v>#REF!</v>
      </c>
      <c r="P25" s="4" t="e">
        <f>IF(Econ!#REF!&lt;1,1,((O25-1)/Econ!#REF!))</f>
        <v>#REF!</v>
      </c>
      <c r="Q25" s="4" t="e">
        <f t="shared" ref="Q25:Q28" si="4">1-P25</f>
        <v>#REF!</v>
      </c>
    </row>
    <row r="26" spans="2:19" x14ac:dyDescent="0.5">
      <c r="B26" s="1" t="s">
        <v>22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69</v>
      </c>
      <c r="M26" s="6" t="e">
        <f>Econ!#REF!</f>
        <v>#REF!</v>
      </c>
      <c r="O26" s="4" t="e">
        <f>Econ!#REF!+Econ!#REF!</f>
        <v>#REF!</v>
      </c>
      <c r="P26" s="4" t="e">
        <f>IF(Econ!#REF!&lt;1,1,((O26-1)/Econ!#REF!))</f>
        <v>#REF!</v>
      </c>
      <c r="Q26" s="4" t="e">
        <f t="shared" si="4"/>
        <v>#REF!</v>
      </c>
    </row>
    <row r="27" spans="2:19" x14ac:dyDescent="0.5">
      <c r="B27" s="1" t="s">
        <v>23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70</v>
      </c>
      <c r="M27" s="6" t="e">
        <f>Econ!#REF!</f>
        <v>#REF!</v>
      </c>
      <c r="O27" s="4" t="e">
        <f>Econ!#REF!+Econ!#REF!</f>
        <v>#REF!</v>
      </c>
      <c r="P27" s="4" t="e">
        <f>IF(Econ!#REF!&lt;1,1,((O27-1)/Econ!#REF!))</f>
        <v>#REF!</v>
      </c>
      <c r="Q27" s="4" t="e">
        <f t="shared" si="4"/>
        <v>#REF!</v>
      </c>
    </row>
    <row r="28" spans="2:19" x14ac:dyDescent="0.5">
      <c r="B28" s="1" t="s">
        <v>24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71</v>
      </c>
      <c r="M28" s="12" t="str">
        <f>Econ!A84</f>
        <v>Mat Primas</v>
      </c>
      <c r="O28" s="4">
        <f>Econ!C84+Econ!E84</f>
        <v>0.33</v>
      </c>
      <c r="P28" s="4">
        <f>IF(Econ!F84&lt;1,1,((O28-1)/Econ!E84))</f>
        <v>-2.0303030303030298</v>
      </c>
      <c r="Q28" s="4">
        <f t="shared" si="4"/>
        <v>3.0303030303030298</v>
      </c>
    </row>
    <row r="29" spans="2:19" x14ac:dyDescent="0.5">
      <c r="M29" s="6" t="s">
        <v>6</v>
      </c>
    </row>
    <row r="30" spans="2:19" x14ac:dyDescent="0.5">
      <c r="B30" s="1" t="s">
        <v>39</v>
      </c>
    </row>
    <row r="31" spans="2:19" x14ac:dyDescent="0.5">
      <c r="C31" s="1" t="s">
        <v>37</v>
      </c>
      <c r="D31" s="1" t="s">
        <v>38</v>
      </c>
      <c r="E31" s="1" t="s">
        <v>8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M31" s="1" t="s">
        <v>8</v>
      </c>
      <c r="N31" s="4">
        <v>0.15</v>
      </c>
      <c r="Q31" s="1" t="s">
        <v>10</v>
      </c>
    </row>
    <row r="32" spans="2:19" x14ac:dyDescent="0.5">
      <c r="B32" s="1" t="s">
        <v>169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20</v>
      </c>
      <c r="N32" s="4">
        <v>0.2</v>
      </c>
      <c r="Q32" s="1" t="s">
        <v>120</v>
      </c>
    </row>
    <row r="33" spans="2:14" x14ac:dyDescent="0.5">
      <c r="B33" s="1" t="s">
        <v>170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21</v>
      </c>
      <c r="N33" s="4">
        <v>0.25</v>
      </c>
    </row>
    <row r="34" spans="2:14" x14ac:dyDescent="0.5">
      <c r="B34" s="1" t="s">
        <v>171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22</v>
      </c>
      <c r="N34" s="4">
        <v>0.3</v>
      </c>
    </row>
    <row r="35" spans="2:14" x14ac:dyDescent="0.5">
      <c r="B35" s="1" t="s">
        <v>172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23</v>
      </c>
      <c r="N35" s="4">
        <v>0.35</v>
      </c>
    </row>
    <row r="36" spans="2:14" x14ac:dyDescent="0.5">
      <c r="B36" s="1" t="s">
        <v>173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24</v>
      </c>
      <c r="N36" s="4">
        <v>0.4</v>
      </c>
    </row>
    <row r="37" spans="2:14" x14ac:dyDescent="0.5">
      <c r="B37" s="1" t="s">
        <v>174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40</v>
      </c>
    </row>
    <row r="40" spans="2:14" x14ac:dyDescent="0.5">
      <c r="B40" s="1" t="s">
        <v>8</v>
      </c>
      <c r="C40" s="1">
        <v>4</v>
      </c>
      <c r="D40" s="1">
        <v>1</v>
      </c>
      <c r="E40" s="1" t="e">
        <f>VLOOKUP(Econ!E153,ShipQlookup,2)</f>
        <v>#N/A</v>
      </c>
    </row>
    <row r="41" spans="2:14" x14ac:dyDescent="0.5">
      <c r="B41" s="1" t="s">
        <v>20</v>
      </c>
      <c r="C41" s="1">
        <v>5</v>
      </c>
      <c r="D41" s="1">
        <v>2</v>
      </c>
      <c r="E41" s="1" t="e">
        <f>VLOOKUP(Econ!E154,ShipQlookup,2)</f>
        <v>#N/A</v>
      </c>
    </row>
    <row r="42" spans="2:14" x14ac:dyDescent="0.5">
      <c r="B42" s="1" t="s">
        <v>21</v>
      </c>
      <c r="C42" s="1">
        <v>6</v>
      </c>
      <c r="D42" s="1">
        <v>3</v>
      </c>
      <c r="E42" s="1" t="e">
        <f>VLOOKUP(Econ!E154,ShipQlookup,2)</f>
        <v>#N/A</v>
      </c>
    </row>
    <row r="43" spans="2:14" x14ac:dyDescent="0.5">
      <c r="B43" s="1" t="s">
        <v>22</v>
      </c>
      <c r="C43" s="1">
        <v>7</v>
      </c>
      <c r="D43" s="1">
        <v>4</v>
      </c>
      <c r="E43" s="1" t="e">
        <f>VLOOKUP(Econ!E155,ShipQlookup,2)</f>
        <v>#N/A</v>
      </c>
    </row>
    <row r="44" spans="2:14" x14ac:dyDescent="0.5">
      <c r="B44" s="1" t="s">
        <v>23</v>
      </c>
      <c r="C44" s="1">
        <v>8</v>
      </c>
      <c r="D44" s="1">
        <v>5</v>
      </c>
      <c r="E44" s="1" t="e">
        <f>VLOOKUP(Econ!E156,ShipQlookup,2)</f>
        <v>#N/A</v>
      </c>
    </row>
    <row r="45" spans="2:14" x14ac:dyDescent="0.5">
      <c r="B45" s="1" t="s">
        <v>24</v>
      </c>
      <c r="C45" s="1">
        <v>9</v>
      </c>
      <c r="D45" s="1">
        <v>6</v>
      </c>
      <c r="E45" s="1" t="e">
        <f>VLOOKUP(Econ!E157,ShipQlookup,2)</f>
        <v>#N/A</v>
      </c>
    </row>
    <row r="46" spans="2:14" x14ac:dyDescent="0.5">
      <c r="D46" s="1">
        <v>7</v>
      </c>
      <c r="E46" s="1" t="e">
        <f>VLOOKUP(Econ!E158,ShipQlookup,2)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2020-11-27T00:55:14Z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