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2\Inicio\"/>
    </mc:Choice>
  </mc:AlternateContent>
  <xr:revisionPtr revIDLastSave="0" documentId="13_ncr:1_{732E565A-E795-4474-9AA6-A8C3D3CF72E9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<sst xmlns="http://schemas.openxmlformats.org/spreadsheetml/2006/main" count="560" uniqueCount="263">
  <si>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</si>
  <si>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</si>
  <si>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</si>
  <si>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</si>
  <si>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</si>
  <si>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</si>
  <si>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</si>
  <si>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</si>
  <si>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</si>
  <si>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</si>
  <si>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</si>
  <si>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</si>
  <si>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</si>
  <si>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</si>
  <si>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</si>
  <si>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</si>
  <si>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</si>
  <si>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</si>
  <si>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</si>
  <si>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</si>
  <si>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</si>
  <si>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</si>
  <si>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</si>
  <si>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</si>
  <si>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</si>
  <si>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</si>
  <si>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</si>
  <si>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</si>
  <si>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</si>
  <si>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</si>
  <si>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</si>
  <si>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</si>
  <si>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</si>
  <si>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</si>
  <si>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</si>
  <si>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</si>
  <si>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</si>
  <si>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</si>
  <si>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</si>
  <si>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</si>
  <si>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</si>
  <si>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</si>
  <si>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</si>
  <si>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</si>
  <si>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</si>
  <si>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</si>
  <si>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</si>
  <si>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</si>
  <si>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</si>
  <si>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</si>
  <si>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</si>
  <si>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</si>
  <si>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</si>
  <si>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</si>
  <si>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</si>
  <si>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</si>
  <si>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</si>
  <si>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</si>
  <si>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</si>
  <si>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</si>
  <si>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</si>
  <si>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</si>
  <si>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</si>
  <si>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</si>
  <si>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</si>
  <si>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</si>
  <si>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</si>
  <si>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</si>
  <si>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</si>
  <si>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</si>
  <si>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</si>
  <si>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</si>
  <si>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</si>
  <si>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</si>
  <si>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</si>
  <si>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</si>
  <si>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</si>
  <si>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</si>
  <si>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</si>
  <si>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</si>
  <si>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</si>
  <si>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</si>
  <si>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</si>
  <si>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</si>
  <si>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</si>
  <si>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</si>
  <si>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</si>
  <si>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</si>
  <si>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</si>
  <si>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</si>
  <si>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</si>
  <si>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</si>
  <si>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</si>
  <si>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</si>
  <si>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</si>
  <si>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</si>
  <si>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</si>
  <si>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</si>
  <si>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</si>
  <si>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</si>
  <si>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</si>
  <si>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</si>
  <si>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</si>
  <si>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</si>
  <si>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</si>
  <si>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</si>
  <si>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</si>
  <si>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</si>
  <si>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</si>
  <si>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</si>
  <si>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</si>
  <si>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</si>
  <si>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</si>
  <si>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</si>
  <si>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</si>
  <si>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</si>
  <si>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</si>
  <si>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</si>
  <si>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</si>
  <si>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</si>
  <si>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</si>
  <si>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</si>
  <si>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</si>
  <si>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</si>
  <si>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</si>
  <si>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</si>
  <si>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</si>
  <si>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</si>
  <si>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</si>
  <si>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</si>
  <si>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</si>
  <si>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</si>
  <si>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</si>
  <si>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</si>
  <si>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</si>
  <si>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</si>
  <si>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</si>
  <si>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</si>
  <si>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</si>
  <si>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</si>
  <si>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</si>
  <si>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</si>
  <si>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</si>
  <si>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</si>
  <si>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</si>
  <si>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</si>
  <si>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</si>
  <si>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</si>
  <si>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</si>
  <si>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</si>
  <si>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</si>
  <si>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</si>
  <si>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</si>
  <si>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</si>
  <si>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</si>
  <si>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</si>
  <si>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</si>
  <si>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</si>
  <si>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</si>
  <si>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</si>
  <si>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</si>
  <si>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</si>
  <si>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</si>
  <si>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</si>
  <si>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</si>
  <si>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</si>
  <si>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</si>
  <si>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</si>
  <si>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</si>
  <si>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</si>
  <si>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</si>
  <si>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</si>
  <si>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</si>
  <si>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</si>
  <si>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</si>
  <si>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</si>
  <si>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</si>
  <si>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</si>
  <si>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</si>
  <si>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</si>
  <si>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</si>
  <si>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</si>
  <si>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</si>
  <si>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</si>
  <si>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</si>
  <si>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</si>
  <si>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</si>
  <si>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</si>
  <si>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</si>
  <si>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</si>
  <si>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</si>
  <si>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</si>
  <si>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</si>
  <si>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</si>
  <si>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</si>
  <si>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</si>
  <si>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</si>
  <si>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</si>
  <si>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</si>
  <si>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</si>
  <si>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</si>
  <si>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</si>
  <si>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</si>
  <si>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</si>
  <si>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</si>
  <si>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</si>
  <si>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</si>
  <si>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</si>
  <si>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</si>
  <si>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</si>
  <si>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</si>
  <si>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</si>
  <si>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</si>
  <si>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</si>
  <si>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</si>
  <si>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</si>
  <si>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</si>
  <si>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</si>
  <si>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</si>
  <si>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</si>
  <si>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</si>
  <si>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</si>
  <si>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</si>
  <si>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</si>
  <si>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</si>
  <si>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</si>
  <si>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</si>
  <si>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</si>
  <si>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</si>
  <si>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</si>
  <si>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</si>
  <si>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</si>
  <si>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</si>
  <si>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</si>
  <si>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</si>
  <si>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</si>
  <si>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</si>
  <si>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</si>
  <si>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</si>
  <si>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</si>
  <si>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</si>
  <si>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</si>
  <si>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</si>
  <si>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</si>
  <si>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</si>
  <si>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</si>
  <si>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</si>
  <si>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Rápido</t>
  </si>
  <si>
    <t>Media</t>
  </si>
  <si>
    <t>6 sem</t>
  </si>
  <si>
    <t>Yokohama, Osaka</t>
  </si>
  <si>
    <t xml:space="preserve"> Osaka, Tokyo </t>
  </si>
  <si>
    <t>Expansión</t>
  </si>
  <si>
    <t>nada</t>
  </si>
  <si>
    <t>Mat primas</t>
  </si>
  <si>
    <t>Taiwán</t>
  </si>
  <si>
    <t>Taiwan</t>
  </si>
  <si>
    <t>Taipei</t>
  </si>
  <si>
    <t>España (3 años, presupuesto '94 incluido)
Exoticos, Comida B+1. Raw Base.</t>
  </si>
  <si>
    <t>Siam ('96) Base</t>
  </si>
  <si>
    <t>Peru ('94) Base</t>
  </si>
  <si>
    <t>Canton-Hankow</t>
  </si>
  <si>
    <t>Pusan-Mukden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</si>
</sst>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0" t="s">
        <v>231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1892</v>
      </c>
    </row>
    <row r="4" spans="1:16" ht="18" thickBot="1" x14ac:dyDescent="0.55000000000000004">
      <c r="A4" s="87" t="s">
        <v>62</v>
      </c>
      <c r="B4" s="87">
        <v>38.520000000000003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36.99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7" t="s">
        <v>65</v>
      </c>
      <c r="B7" s="189"/>
      <c r="G7" s="204" t="s">
        <v>78</v>
      </c>
      <c r="H7" s="204"/>
      <c r="I7" s="90">
        <v>1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184.95000000000002</v>
      </c>
      <c r="C8" s="92"/>
      <c r="G8" s="204" t="s">
        <v>79</v>
      </c>
      <c r="H8" s="204"/>
      <c r="I8" s="90">
        <f>I7*J13</f>
        <v>0.3</v>
      </c>
    </row>
    <row r="9" spans="1:16" ht="18" thickBot="1" x14ac:dyDescent="0.55000000000000004">
      <c r="A9" s="87" t="s">
        <v>73</v>
      </c>
      <c r="B9" s="90">
        <f>Colonias!C7+Ferrocarriles!D1</f>
        <v>23</v>
      </c>
      <c r="C9" s="92"/>
      <c r="H9" s="87" t="s">
        <v>2</v>
      </c>
      <c r="I9" s="90">
        <f>SUM(I7:I8)</f>
        <v>1.3</v>
      </c>
      <c r="J9" s="93"/>
    </row>
    <row r="10" spans="1:16" ht="18" thickBot="1" x14ac:dyDescent="0.55000000000000004">
      <c r="A10" s="87" t="s">
        <v>74</v>
      </c>
      <c r="B10" s="90">
        <v>-1</v>
      </c>
    </row>
    <row r="11" spans="1:16" ht="18" thickBot="1" x14ac:dyDescent="0.55000000000000004">
      <c r="A11" s="87" t="s">
        <v>75</v>
      </c>
      <c r="B11" s="90">
        <f>Militar!O12</f>
        <v>12</v>
      </c>
      <c r="J11" s="94"/>
      <c r="K11" s="205"/>
    </row>
    <row r="12" spans="1:16" ht="19.5" customHeight="1" thickBot="1" x14ac:dyDescent="0.55000000000000004">
      <c r="A12" s="94"/>
      <c r="B12" s="95"/>
      <c r="C12" s="94"/>
      <c r="D12" s="205"/>
      <c r="G12" s="201"/>
      <c r="H12" s="201"/>
      <c r="I12" s="96"/>
      <c r="J12" s="87" t="s">
        <v>81</v>
      </c>
      <c r="K12" s="205"/>
    </row>
    <row r="13" spans="1:16" ht="18" thickBot="1" x14ac:dyDescent="0.55000000000000004">
      <c r="A13" s="94"/>
      <c r="B13" s="95"/>
      <c r="C13" s="94"/>
      <c r="D13" s="205"/>
      <c r="G13" s="204" t="s">
        <v>80</v>
      </c>
      <c r="H13" s="204"/>
      <c r="I13" s="87" t="s">
        <v>22</v>
      </c>
      <c r="J13" s="97">
        <v>0.3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194.95000000000002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0" t="s">
        <v>233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22</v>
      </c>
      <c r="K23" s="100">
        <f>J23+(J23*0.3)</f>
        <v>28.6</v>
      </c>
      <c r="L23" s="100">
        <f>J23-(J23*0.3)</f>
        <v>15.4</v>
      </c>
      <c r="M23" s="100">
        <f>J23-(J23*0.2)</f>
        <v>17.600000000000001</v>
      </c>
      <c r="N23" s="100">
        <f>J23+(J23*0.2)</f>
        <v>26.4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5.1360000000000001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-5.1360000000000001</v>
      </c>
      <c r="C25" s="103">
        <f>C21-C24</f>
        <v>0</v>
      </c>
      <c r="D25" s="104">
        <f>D23</f>
        <v>2</v>
      </c>
      <c r="E25" s="103">
        <f>E23-E24</f>
        <v>-4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0" t="s">
        <v>232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ht="35.25" x14ac:dyDescent="0.5">
      <c r="A41" s="179" t="s">
        <v>258</v>
      </c>
      <c r="B41" s="148"/>
      <c r="C41" s="148">
        <v>1</v>
      </c>
      <c r="D41" s="148"/>
      <c r="E41" s="148"/>
      <c r="F41" s="148"/>
      <c r="G41" s="148"/>
      <c r="H41" s="148">
        <v>46</v>
      </c>
      <c r="J41" s="148"/>
      <c r="K41" s="148"/>
      <c r="L41" s="148">
        <v>1</v>
      </c>
      <c r="M41" s="148">
        <v>3</v>
      </c>
      <c r="N41" s="148"/>
      <c r="O41" s="148"/>
      <c r="P41" s="148">
        <v>11</v>
      </c>
    </row>
    <row r="42" spans="1:16" x14ac:dyDescent="0.5">
      <c r="A42" s="147" t="s">
        <v>259</v>
      </c>
      <c r="B42" s="148"/>
      <c r="C42" s="148"/>
      <c r="D42" s="148"/>
      <c r="E42" s="148"/>
      <c r="F42" s="148"/>
      <c r="G42" s="148"/>
      <c r="H42" s="148">
        <v>11</v>
      </c>
      <c r="J42" s="148"/>
      <c r="K42" s="148"/>
      <c r="L42" s="148"/>
      <c r="M42" s="148">
        <v>1</v>
      </c>
      <c r="N42" s="148"/>
      <c r="O42" s="148"/>
      <c r="P42" s="148"/>
    </row>
    <row r="43" spans="1:16" x14ac:dyDescent="0.5">
      <c r="A43" s="147" t="s">
        <v>260</v>
      </c>
      <c r="B43" s="148"/>
      <c r="C43" s="148"/>
      <c r="D43" s="148"/>
      <c r="E43" s="148"/>
      <c r="F43" s="148"/>
      <c r="G43" s="148"/>
      <c r="H43" s="149">
        <v>10</v>
      </c>
      <c r="J43" s="148"/>
      <c r="K43" s="148"/>
      <c r="L43" s="148">
        <v>1</v>
      </c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1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-67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2</v>
      </c>
      <c r="M53" s="108">
        <f t="shared" si="8"/>
        <v>4</v>
      </c>
      <c r="N53" s="108">
        <f t="shared" si="8"/>
        <v>0</v>
      </c>
      <c r="O53" s="108">
        <f t="shared" si="8"/>
        <v>0</v>
      </c>
      <c r="P53" s="113">
        <f xml:space="preserve"> SUM(P41:P51)-P52</f>
        <v>11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-5.1360000000000001</v>
      </c>
      <c r="C56" s="101">
        <f t="shared" si="9"/>
        <v>-1</v>
      </c>
      <c r="D56" s="101">
        <f t="shared" si="9"/>
        <v>4</v>
      </c>
      <c r="E56" s="101">
        <f t="shared" si="9"/>
        <v>0</v>
      </c>
      <c r="F56" s="101">
        <f t="shared" si="9"/>
        <v>1</v>
      </c>
      <c r="G56" s="101">
        <f t="shared" si="9"/>
        <v>1</v>
      </c>
      <c r="H56" s="116">
        <f>B15+H53+P53</f>
        <v>138.95000000000002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-5.1360000000000001</v>
      </c>
      <c r="C64" s="101">
        <f>C56</f>
        <v>-1</v>
      </c>
      <c r="D64" s="101">
        <f>D56-D60</f>
        <v>4</v>
      </c>
      <c r="E64" s="101">
        <f>E63+E56</f>
        <v>0</v>
      </c>
      <c r="F64" s="101">
        <f>F56-F61-F62</f>
        <v>1</v>
      </c>
      <c r="G64" s="101">
        <f>G56-G61-G62</f>
        <v>1</v>
      </c>
      <c r="H64" s="116">
        <f>H56-H63</f>
        <v>138.95000000000002</v>
      </c>
      <c r="I64" s="87">
        <f>B23-I60-I61-I62-I63</f>
        <v>6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127</v>
      </c>
      <c r="B69" s="202" t="s">
        <v>117</v>
      </c>
      <c r="C69" s="202" t="s">
        <v>245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7" t="s">
        <v>135</v>
      </c>
      <c r="B71" s="90">
        <v>75</v>
      </c>
      <c r="C71" s="97">
        <v>0</v>
      </c>
      <c r="D71" s="150" t="s">
        <v>10</v>
      </c>
      <c r="E71" s="97">
        <f>IF(H71="Si",0.4,0.33)</f>
        <v>0.4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120</v>
      </c>
      <c r="I71" s="120"/>
    </row>
    <row r="72" spans="1:16" ht="18" thickBot="1" x14ac:dyDescent="0.55000000000000004">
      <c r="A72" s="151" t="s">
        <v>135</v>
      </c>
      <c r="B72" s="90">
        <v>80</v>
      </c>
      <c r="C72" s="97">
        <v>0</v>
      </c>
      <c r="D72" s="150" t="s">
        <v>10</v>
      </c>
      <c r="E72" s="97">
        <f t="shared" ref="E72:E81" si="10">IF(H72="Si",0.4,0.33)</f>
        <v>0.4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120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0.4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120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0.4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120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0.4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120</v>
      </c>
      <c r="I75" s="120"/>
    </row>
    <row r="76" spans="1:16" s="152" customFormat="1" ht="18" thickBot="1" x14ac:dyDescent="0.55000000000000004">
      <c r="A76" s="151" t="s">
        <v>254</v>
      </c>
      <c r="B76" s="90">
        <v>65</v>
      </c>
      <c r="C76" s="97">
        <v>0</v>
      </c>
      <c r="D76" s="150" t="s">
        <v>10</v>
      </c>
      <c r="E76" s="97">
        <f t="shared" si="10"/>
        <v>0.4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120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138.95000000000002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138.95000000000002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9" t="s">
        <v>151</v>
      </c>
      <c r="L125" s="197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0"/>
      <c r="L126" s="198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1"/>
      <c r="B135" s="201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1"/>
      <c r="B136" s="201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9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0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9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0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7" t="s">
        <v>183</v>
      </c>
      <c r="B173" s="188"/>
      <c r="C173" s="188"/>
      <c r="D173" s="188"/>
      <c r="E173" s="188"/>
      <c r="F173" s="189"/>
      <c r="G173" s="145" t="s">
        <v>184</v>
      </c>
      <c r="N173" s="146"/>
    </row>
    <row r="174" spans="1:14" ht="19.5" customHeight="1" thickBot="1" x14ac:dyDescent="0.55000000000000004">
      <c r="A174" s="181"/>
      <c r="B174" s="182"/>
      <c r="C174" s="182"/>
      <c r="D174" s="182"/>
      <c r="E174" s="182"/>
      <c r="F174" s="183"/>
      <c r="G174" s="160"/>
    </row>
    <row r="175" spans="1:14" ht="18" thickBot="1" x14ac:dyDescent="0.55000000000000004">
      <c r="A175" s="181"/>
      <c r="B175" s="182"/>
      <c r="C175" s="182"/>
      <c r="D175" s="182"/>
      <c r="E175" s="182"/>
      <c r="F175" s="183"/>
      <c r="G175" s="160"/>
    </row>
    <row r="176" spans="1:14" ht="19.5" customHeight="1" thickBot="1" x14ac:dyDescent="0.55000000000000004">
      <c r="A176" s="181"/>
      <c r="B176" s="182"/>
      <c r="C176" s="182"/>
      <c r="D176" s="182"/>
      <c r="E176" s="182"/>
      <c r="F176" s="183"/>
      <c r="G176" s="160"/>
    </row>
    <row r="177" spans="1:7" ht="19.5" customHeight="1" thickBot="1" x14ac:dyDescent="0.55000000000000004">
      <c r="A177" s="181"/>
      <c r="B177" s="182"/>
      <c r="C177" s="182"/>
      <c r="D177" s="182"/>
      <c r="E177" s="182"/>
      <c r="F177" s="183"/>
      <c r="G177" s="160"/>
    </row>
    <row r="178" spans="1:7" ht="19.5" customHeight="1" thickBot="1" x14ac:dyDescent="0.55000000000000004">
      <c r="A178" s="181"/>
      <c r="B178" s="182"/>
      <c r="C178" s="182"/>
      <c r="D178" s="182"/>
      <c r="E178" s="182"/>
      <c r="F178" s="183"/>
      <c r="G178" s="160"/>
    </row>
    <row r="179" spans="1:7" ht="19.5" customHeight="1" thickBot="1" x14ac:dyDescent="0.55000000000000004">
      <c r="A179" s="181"/>
      <c r="B179" s="182"/>
      <c r="C179" s="182"/>
      <c r="D179" s="182"/>
      <c r="E179" s="182"/>
      <c r="F179" s="183"/>
      <c r="G179" s="160"/>
    </row>
    <row r="180" spans="1:7" ht="19.5" customHeight="1" thickBot="1" x14ac:dyDescent="0.55000000000000004">
      <c r="A180" s="181"/>
      <c r="B180" s="182"/>
      <c r="C180" s="182"/>
      <c r="D180" s="182"/>
      <c r="E180" s="182"/>
      <c r="F180" s="183"/>
      <c r="G180" s="160"/>
    </row>
    <row r="181" spans="1:7" ht="19.5" customHeight="1" thickBot="1" x14ac:dyDescent="0.55000000000000004">
      <c r="A181" s="181"/>
      <c r="B181" s="182"/>
      <c r="C181" s="182"/>
      <c r="D181" s="182"/>
      <c r="E181" s="182"/>
      <c r="F181" s="183"/>
      <c r="G181" s="160"/>
    </row>
    <row r="182" spans="1:7" ht="19.5" customHeight="1" thickBot="1" x14ac:dyDescent="0.55000000000000004">
      <c r="A182" s="181"/>
      <c r="B182" s="182"/>
      <c r="C182" s="182"/>
      <c r="D182" s="182"/>
      <c r="E182" s="182"/>
      <c r="F182" s="183"/>
      <c r="G182" s="160"/>
    </row>
    <row r="183" spans="1:7" ht="19.5" customHeight="1" thickBot="1" x14ac:dyDescent="0.55000000000000004">
      <c r="A183" s="181"/>
      <c r="B183" s="182"/>
      <c r="C183" s="182"/>
      <c r="D183" s="182"/>
      <c r="E183" s="182"/>
      <c r="F183" s="183"/>
      <c r="G183" s="160"/>
    </row>
    <row r="184" spans="1:7" ht="18" thickBot="1" x14ac:dyDescent="0.55000000000000004">
      <c r="A184" s="181"/>
      <c r="B184" s="182"/>
      <c r="C184" s="182"/>
      <c r="D184" s="182"/>
      <c r="E184" s="182"/>
      <c r="F184" s="183"/>
      <c r="G184" s="160"/>
    </row>
    <row r="185" spans="1:7" ht="18" thickBot="1" x14ac:dyDescent="0.55000000000000004">
      <c r="A185" s="184"/>
      <c r="B185" s="185"/>
      <c r="C185" s="185"/>
      <c r="D185" s="185"/>
      <c r="E185" s="185"/>
      <c r="F185" s="186"/>
      <c r="G185" s="160"/>
    </row>
    <row r="186" spans="1:7" ht="18" thickBot="1" x14ac:dyDescent="0.55000000000000004">
      <c r="A186" s="181"/>
      <c r="B186" s="182"/>
      <c r="C186" s="182"/>
      <c r="D186" s="182"/>
      <c r="E186" s="182"/>
      <c r="F186" s="183"/>
      <c r="G186" s="163"/>
    </row>
    <row r="187" spans="1:7" ht="18" thickBot="1" x14ac:dyDescent="0.55000000000000004">
      <c r="A187" s="181"/>
      <c r="B187" s="182"/>
      <c r="C187" s="182"/>
      <c r="D187" s="182"/>
      <c r="E187" s="182"/>
      <c r="F187" s="183"/>
      <c r="G187" s="163"/>
    </row>
    <row r="188" spans="1:7" ht="18" thickBot="1" x14ac:dyDescent="0.55000000000000004">
      <c r="A188" s="194"/>
      <c r="B188" s="195"/>
      <c r="C188" s="195"/>
      <c r="D188" s="195"/>
      <c r="E188" s="195"/>
      <c r="F188" s="196"/>
      <c r="G188" s="163"/>
    </row>
    <row r="189" spans="1:7" ht="18" thickBot="1" x14ac:dyDescent="0.55000000000000004">
      <c r="A189" s="181"/>
      <c r="B189" s="182"/>
      <c r="C189" s="182"/>
      <c r="D189" s="182"/>
      <c r="E189" s="182"/>
      <c r="F189" s="183"/>
      <c r="G189" s="160"/>
    </row>
    <row r="190" spans="1:7" ht="18" thickBot="1" x14ac:dyDescent="0.55000000000000004">
      <c r="A190" s="181"/>
      <c r="B190" s="182"/>
      <c r="C190" s="182"/>
      <c r="D190" s="182"/>
      <c r="E190" s="182"/>
      <c r="F190" s="183"/>
      <c r="G190" s="160"/>
    </row>
    <row r="191" spans="1:7" ht="18" thickBot="1" x14ac:dyDescent="0.55000000000000004">
      <c r="A191" s="194"/>
      <c r="B191" s="195"/>
      <c r="C191" s="195"/>
      <c r="D191" s="195"/>
      <c r="E191" s="195"/>
      <c r="F191" s="196"/>
      <c r="G191" s="160"/>
    </row>
    <row r="192" spans="1:7" ht="18" thickBot="1" x14ac:dyDescent="0.55000000000000004">
      <c r="A192" s="181"/>
      <c r="B192" s="195"/>
      <c r="C192" s="195"/>
      <c r="D192" s="195"/>
      <c r="E192" s="195"/>
      <c r="F192" s="196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7" t="s">
        <v>108</v>
      </c>
      <c r="F196" s="189"/>
      <c r="G196" s="116">
        <f>E116-L131-H136-G151-G160-C168-G194</f>
        <v>138.95000000000002</v>
      </c>
    </row>
  </sheetData>
  <sheetProtection algorithmName="SHA-512" hashValue="phric+TFi+D/RSa+ibVVgqfnSsJAgXtt4uo5Rrrp7M84O1jhKpPf2ETNiGHKBJZVtGwmfGS/VEqq5eMOiGXQaA==" saltValue="JtR5KqSjo/Zn0g7eIVgAG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190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8" t="s">
        <v>160</v>
      </c>
      <c r="C6" s="248" t="s">
        <v>148</v>
      </c>
      <c r="D6" s="248" t="s">
        <v>189</v>
      </c>
      <c r="E6" s="248" t="s">
        <v>148</v>
      </c>
      <c r="F6" s="248" t="s">
        <v>147</v>
      </c>
      <c r="G6" s="248" t="s">
        <v>148</v>
      </c>
      <c r="H6" s="248" t="s">
        <v>149</v>
      </c>
      <c r="I6" s="248" t="s">
        <v>148</v>
      </c>
      <c r="J6" s="248" t="s">
        <v>150</v>
      </c>
      <c r="K6" s="246" t="s">
        <v>148</v>
      </c>
      <c r="N6" s="212" t="s">
        <v>192</v>
      </c>
      <c r="O6" s="212"/>
      <c r="P6" s="212"/>
    </row>
    <row r="7" spans="1:20" ht="15.75" thickBot="1" x14ac:dyDescent="0.5">
      <c r="A7" s="51" t="s">
        <v>181</v>
      </c>
      <c r="B7" s="249"/>
      <c r="C7" s="249"/>
      <c r="D7" s="249"/>
      <c r="E7" s="249"/>
      <c r="F7" s="249"/>
      <c r="G7" s="249"/>
      <c r="H7" s="249"/>
      <c r="I7" s="249"/>
      <c r="J7" s="249"/>
      <c r="K7" s="247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 t="s">
        <v>6</v>
      </c>
      <c r="G8" s="49"/>
      <c r="H8" s="49">
        <v>1</v>
      </c>
      <c r="I8" s="49" t="s">
        <v>24</v>
      </c>
      <c r="J8" s="49"/>
      <c r="K8" s="49"/>
      <c r="N8" s="49" t="s">
        <v>193</v>
      </c>
      <c r="O8" s="7"/>
      <c r="P8" s="52">
        <f>B37/1000000</f>
        <v>1.4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/>
      <c r="I9" s="49"/>
      <c r="J9" s="49"/>
      <c r="K9" s="49"/>
      <c r="N9" s="49" t="s">
        <v>138</v>
      </c>
      <c r="O9" s="53">
        <f>B65</f>
        <v>7</v>
      </c>
      <c r="P9" s="49">
        <f>B66</f>
        <v>0.13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5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12</v>
      </c>
      <c r="P12" s="52">
        <f>P8+P9</f>
        <v>1.5299999999999998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0</v>
      </c>
      <c r="G25" s="7"/>
      <c r="H25" s="49">
        <f>SUM(H8:H24)</f>
        <v>1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248</v>
      </c>
      <c r="C28" s="45"/>
      <c r="D28" s="168"/>
      <c r="E28" s="166"/>
      <c r="F28" s="167" t="s">
        <v>212</v>
      </c>
      <c r="G28" s="53">
        <f>B25+D25+H25+J25</f>
        <v>9</v>
      </c>
      <c r="I28" s="55" t="s">
        <v>108</v>
      </c>
      <c r="J28" s="59">
        <f>Econ!G196</f>
        <v>138.95000000000002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249</v>
      </c>
      <c r="E30" s="212" t="s">
        <v>199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200</v>
      </c>
      <c r="J31" s="212"/>
      <c r="K31" s="212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201</v>
      </c>
      <c r="B35" s="60">
        <f>(B25+H25+J25)*200000</f>
        <v>1000000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1400000</v>
      </c>
    </row>
    <row r="38" spans="1:16" ht="16.149999999999999" thickTop="1" thickBot="1" x14ac:dyDescent="0.5"/>
    <row r="39" spans="1:16" ht="15.75" thickBot="1" x14ac:dyDescent="0.5">
      <c r="G39" s="212" t="s">
        <v>203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5" t="s">
        <v>181</v>
      </c>
      <c r="B48" s="227" t="s">
        <v>207</v>
      </c>
      <c r="C48" s="227" t="s">
        <v>148</v>
      </c>
      <c r="D48" s="227" t="s">
        <v>208</v>
      </c>
      <c r="E48" s="227" t="s">
        <v>148</v>
      </c>
      <c r="F48" s="227" t="s">
        <v>209</v>
      </c>
      <c r="G48" s="227" t="s">
        <v>148</v>
      </c>
      <c r="H48" s="227" t="s">
        <v>210</v>
      </c>
      <c r="I48" s="227" t="s">
        <v>148</v>
      </c>
      <c r="J48" s="227" t="s">
        <v>174</v>
      </c>
      <c r="K48" s="227" t="s">
        <v>148</v>
      </c>
      <c r="L48" s="227" t="s">
        <v>176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7" customFormat="1" ht="16.149999999999999" thickTop="1" thickBot="1" x14ac:dyDescent="0.5">
      <c r="A50" s="62" t="s">
        <v>246</v>
      </c>
      <c r="B50" s="63">
        <v>1</v>
      </c>
      <c r="C50" s="64" t="s">
        <v>23</v>
      </c>
      <c r="D50" s="63">
        <v>3</v>
      </c>
      <c r="E50" s="64" t="s">
        <v>23</v>
      </c>
      <c r="F50" s="67"/>
      <c r="G50" s="68"/>
      <c r="H50" s="63">
        <v>4</v>
      </c>
      <c r="I50" s="64" t="s">
        <v>22</v>
      </c>
      <c r="J50" s="63" t="s">
        <v>6</v>
      </c>
      <c r="K50" s="64" t="s">
        <v>6</v>
      </c>
      <c r="L50" s="62">
        <v>3</v>
      </c>
    </row>
    <row r="51" spans="1:12" ht="16.149999999999999" thickTop="1" thickBot="1" x14ac:dyDescent="0.5">
      <c r="A51" s="55"/>
      <c r="B51" s="65"/>
      <c r="C51" s="66"/>
      <c r="D51" s="65"/>
      <c r="E51" s="66"/>
      <c r="F51" s="65"/>
      <c r="G51" s="66"/>
      <c r="H51" s="65">
        <v>5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1</v>
      </c>
      <c r="C59" s="35"/>
      <c r="D59" s="55">
        <f>SUM(D50:D58)</f>
        <v>3</v>
      </c>
      <c r="E59" s="35"/>
      <c r="F59" s="55">
        <f>SUM(F50:F58)</f>
        <v>0</v>
      </c>
      <c r="G59" s="35"/>
      <c r="H59" s="55">
        <f>SUM(H50:H58)</f>
        <v>9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248</v>
      </c>
      <c r="E63" s="49"/>
      <c r="F63" s="58" t="s">
        <v>211</v>
      </c>
      <c r="G63" s="53">
        <f>B64*0.5</f>
        <v>12.5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25</v>
      </c>
    </row>
    <row r="65" spans="1:16" ht="16.149999999999999" thickTop="1" thickBot="1" x14ac:dyDescent="0.5">
      <c r="A65" s="55" t="s">
        <v>214</v>
      </c>
      <c r="B65" s="59">
        <f>ROUNDUP((B64/20)*5,0)</f>
        <v>7</v>
      </c>
      <c r="E65" s="212" t="s">
        <v>215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164</v>
      </c>
      <c r="B66" s="55">
        <f>ROUNDUP((B64/20)*0.1,2)</f>
        <v>0.13</v>
      </c>
      <c r="C66" s="20" t="s">
        <v>55</v>
      </c>
      <c r="E66" s="212" t="s">
        <v>216</v>
      </c>
      <c r="F66" s="212"/>
      <c r="G66" s="212"/>
      <c r="H66" s="49" t="s">
        <v>117</v>
      </c>
      <c r="I66" s="212" t="s">
        <v>200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138.95000000000002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40" t="s">
        <v>181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9" t="s">
        <v>222</v>
      </c>
      <c r="B77" s="49">
        <v>2</v>
      </c>
      <c r="C77" s="69"/>
      <c r="D77" s="241" t="s">
        <v>250</v>
      </c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3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6" t="s">
        <v>257</v>
      </c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5"/>
    </row>
    <row r="79" spans="1:16" x14ac:dyDescent="0.45">
      <c r="A79" s="35"/>
      <c r="B79" s="35"/>
      <c r="C79" s="15"/>
      <c r="D79" s="216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5"/>
      <c r="B80" s="35"/>
      <c r="C80" s="15"/>
      <c r="D80" s="216"/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5"/>
      <c r="B81" s="35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5"/>
      <c r="B82" s="35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5"/>
      <c r="B83" s="35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2" t="s">
        <v>181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222</v>
      </c>
      <c r="B87" s="57">
        <v>4</v>
      </c>
      <c r="C87" s="69"/>
      <c r="D87" s="208" t="s">
        <v>250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2" t="s">
        <v>181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9"/>
      <c r="B91" s="49">
        <v>2</v>
      </c>
      <c r="C91" s="70">
        <f>B91*2</f>
        <v>4</v>
      </c>
      <c r="D91" s="228" t="s">
        <v>251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2" t="s">
        <v>181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/>
      <c r="C95" s="70">
        <f>B95*4</f>
        <v>0</v>
      </c>
      <c r="D95" s="234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8" t="s">
        <v>3</v>
      </c>
      <c r="B99" s="172">
        <f>C78+C88+C91+C95</f>
        <v>5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138.95000000000002</v>
      </c>
    </row>
  </sheetData>
  <sheetProtection algorithmName="SHA-512" hashValue="esHJMGCgOyADrw90v38T1zcqeYuh1ekUpAUdtkKvGbgAEwN6tgsAXgrTi8dl2kh2FxHojgfgw3yXhkCtlrhdtw==" saltValue="WgBAm4CjdEnUOaOHwgOui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5" sqref="B5:B6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15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256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255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253</v>
      </c>
      <c r="D36" s="42" t="s">
        <v>253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253</v>
      </c>
      <c r="D37" s="42" t="s">
        <v>253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253</v>
      </c>
      <c r="D38" s="42" t="s">
        <v>253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  <c r="P116" s="251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1vge18eoPPTi8xKptXbB6xvozqZmQXtIbALhNyq8F1CqLuyM+2ExDJJOWik9VLn5KkpXXGVNB7zQHVpuI1R/yQ==" saltValue="hUsiMx+lkqzY30C6Z7+KtQ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8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 t="s">
        <v>252</v>
      </c>
      <c r="B5" s="261"/>
      <c r="C5" s="261"/>
      <c r="D5" s="73">
        <v>8</v>
      </c>
      <c r="F5" s="78" t="s">
        <v>261</v>
      </c>
      <c r="G5" s="77">
        <v>45</v>
      </c>
      <c r="H5" s="79">
        <v>2</v>
      </c>
    </row>
    <row r="6" spans="1:8" x14ac:dyDescent="0.35">
      <c r="A6" s="261"/>
      <c r="B6" s="261"/>
      <c r="C6" s="261"/>
      <c r="D6" s="74"/>
      <c r="F6" s="78" t="s">
        <v>262</v>
      </c>
      <c r="G6" s="77">
        <v>45</v>
      </c>
      <c r="H6" s="79">
        <v>2</v>
      </c>
    </row>
    <row r="7" spans="1:8" x14ac:dyDescent="0.35">
      <c r="A7" s="261"/>
      <c r="B7" s="261"/>
      <c r="C7" s="261"/>
      <c r="D7" s="74"/>
      <c r="F7" s="78"/>
      <c r="G7" s="77"/>
      <c r="H7" s="79"/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XjKiupxJFvvw/KO16rqNqyOah2q00fzVksPpTT7+aLSToLcSBW8AeKozvsYeS20WnIf68dKMi/ZSfIASRB6hJw==" saltValue="75bK1jglfT697Iy3RZK8B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39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58.5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0.4</v>
      </c>
      <c r="P24" s="4">
        <f>IF(Econ!F71&lt;1,1,((O24-1)/Econ!E71))</f>
        <v>-1.4999999999999998</v>
      </c>
      <c r="Q24" s="4">
        <f>1-P24</f>
        <v>2.5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0.4</v>
      </c>
      <c r="P25" s="4">
        <f>IF(Econ!F72&lt;1,1,((O25-1)/Econ!E72))</f>
        <v>-1.4999999999999998</v>
      </c>
      <c r="Q25" s="4">
        <f t="shared" ref="Q25:Q28" si="4">1-P25</f>
        <v>2.5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2020-11-10T11:48:46Z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