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2\Inicio\"/>
    </mc:Choice>
  </mc:AlternateContent>
  <xr:revisionPtr revIDLastSave="0" documentId="13_ncr:1_{81F06673-14F1-4737-9DD1-933AD89D6F2A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36" i="4" l="1"/>
  <c r="B37" i="4"/>
  <c r="B38" i="4"/>
  <c r="B35" i="4"/>
  <c r="B25" i="3" l="1"/>
  <c r="G197" i="1"/>
  <c r="C89" i="1"/>
  <c r="C90" i="1"/>
  <c r="C91" i="1"/>
  <c r="C88" i="1"/>
  <c r="B89" i="1"/>
  <c r="B90" i="1"/>
  <c r="B91" i="1"/>
  <c r="B88" i="1"/>
  <c r="H80" i="1"/>
  <c r="H81" i="1"/>
  <c r="H82" i="1"/>
  <c r="H83" i="1"/>
  <c r="H84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1" i="1"/>
  <c r="C82" i="1"/>
  <c r="C83" i="1"/>
  <c r="C84" i="1"/>
  <c r="C80" i="1"/>
  <c r="B80" i="1"/>
  <c r="F73" i="1" l="1"/>
  <c r="F78" i="1"/>
  <c r="G77" i="1"/>
  <c r="G76" i="1"/>
  <c r="F74" i="1"/>
  <c r="G79" i="1"/>
  <c r="G75" i="1"/>
  <c r="B84" i="1"/>
  <c r="E89" i="1"/>
  <c r="E90" i="1"/>
  <c r="E91" i="1"/>
  <c r="E88" i="1"/>
  <c r="B81" i="1" l="1"/>
  <c r="B82" i="1"/>
  <c r="B83" i="1"/>
  <c r="G81" i="1"/>
  <c r="E81" i="1"/>
  <c r="F81" i="1" s="1"/>
  <c r="E82" i="1"/>
  <c r="F82" i="1" s="1"/>
  <c r="E83" i="1"/>
  <c r="G83" i="1" s="1"/>
  <c r="E84" i="1"/>
  <c r="G84" i="1" s="1"/>
  <c r="E80" i="1"/>
  <c r="F80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2" i="1" l="1"/>
  <c r="F84" i="1"/>
  <c r="F83" i="1"/>
  <c r="G80" i="1"/>
  <c r="C88" i="3"/>
  <c r="C168" i="1" l="1"/>
  <c r="C169" i="1"/>
  <c r="C170" i="1"/>
  <c r="C167" i="1"/>
  <c r="C149" i="1" l="1"/>
  <c r="C150" i="1"/>
  <c r="C151" i="1"/>
  <c r="C152" i="1"/>
  <c r="C153" i="1"/>
  <c r="C148" i="1"/>
  <c r="B153" i="1"/>
  <c r="B152" i="1"/>
  <c r="B151" i="1"/>
  <c r="B150" i="1"/>
  <c r="B149" i="1"/>
  <c r="B148" i="1"/>
  <c r="F107" i="1"/>
  <c r="F108" i="1"/>
  <c r="F109" i="1"/>
  <c r="F110" i="1"/>
  <c r="F111" i="1"/>
  <c r="F112" i="1"/>
  <c r="F113" i="1"/>
  <c r="F114" i="1"/>
  <c r="F106" i="1"/>
  <c r="E107" i="1"/>
  <c r="E108" i="1"/>
  <c r="E109" i="1"/>
  <c r="E110" i="1"/>
  <c r="E111" i="1"/>
  <c r="E112" i="1"/>
  <c r="E113" i="1"/>
  <c r="E114" i="1"/>
  <c r="E106" i="1"/>
  <c r="F89" i="1" l="1"/>
  <c r="F90" i="1"/>
  <c r="F91" i="1"/>
  <c r="F88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5" i="1" l="1"/>
  <c r="F149" i="1"/>
  <c r="D32" i="1" l="1"/>
  <c r="D34" i="1" s="1"/>
  <c r="F34" i="1"/>
  <c r="F100" i="1" l="1"/>
  <c r="F99" i="1"/>
  <c r="F98" i="1"/>
  <c r="F97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9" i="1" s="1"/>
  <c r="D1" i="5" l="1"/>
  <c r="B9" i="1" s="1"/>
  <c r="K133" i="1" l="1"/>
  <c r="K132" i="1"/>
  <c r="K131" i="1"/>
  <c r="F151" i="1" l="1"/>
  <c r="F150" i="1"/>
  <c r="F148" i="1"/>
  <c r="F152" i="1" l="1"/>
  <c r="F153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3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8" i="1" s="1"/>
  <c r="E42" i="2"/>
  <c r="G150" i="1" s="1"/>
  <c r="E43" i="2"/>
  <c r="G151" i="1" s="1"/>
  <c r="E44" i="2"/>
  <c r="G152" i="1" s="1"/>
  <c r="E45" i="2"/>
  <c r="G153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4" i="1"/>
  <c r="O26" i="2"/>
  <c r="O28" i="2"/>
  <c r="M25" i="2"/>
  <c r="M26" i="2"/>
  <c r="M27" i="2"/>
  <c r="M28" i="2"/>
  <c r="M24" i="2"/>
  <c r="I139" i="1"/>
  <c r="I60" i="1"/>
  <c r="I61" i="1"/>
  <c r="I63" i="1"/>
  <c r="M131" i="1"/>
  <c r="M132" i="1"/>
  <c r="M133" i="1"/>
  <c r="K130" i="1"/>
  <c r="M130" i="1" s="1"/>
  <c r="B133" i="1"/>
  <c r="B132" i="1"/>
  <c r="B130" i="1"/>
  <c r="B131" i="1"/>
  <c r="B129" i="1"/>
  <c r="H51" i="1" l="1"/>
  <c r="P51" i="1"/>
  <c r="B99" i="3"/>
  <c r="O11" i="3" s="1"/>
  <c r="I9" i="1"/>
  <c r="F92" i="1"/>
  <c r="E92" i="1"/>
  <c r="E93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101" i="1"/>
  <c r="P24" i="2"/>
  <c r="Q24" i="2" s="1"/>
  <c r="N6" i="2"/>
  <c r="O6" i="2" s="1"/>
  <c r="P6" i="2" s="1"/>
  <c r="Q6" i="2" s="1"/>
  <c r="L133" i="1" s="1"/>
  <c r="P26" i="2"/>
  <c r="Q26" i="2" s="1"/>
  <c r="C171" i="1"/>
  <c r="F154" i="1"/>
  <c r="H154" i="1" s="1"/>
  <c r="F115" i="1"/>
  <c r="P28" i="2"/>
  <c r="Q28" i="2" s="1"/>
  <c r="N5" i="2"/>
  <c r="O5" i="2" s="1"/>
  <c r="P5" i="2" s="1"/>
  <c r="Q5" i="2" s="1"/>
  <c r="L132" i="1" s="1"/>
  <c r="G154" i="1"/>
  <c r="I64" i="1"/>
  <c r="F64" i="1"/>
  <c r="E64" i="1"/>
  <c r="D64" i="1"/>
  <c r="G64" i="1"/>
  <c r="N4" i="2"/>
  <c r="O4" i="2" s="1"/>
  <c r="P4" i="2" s="1"/>
  <c r="Q4" i="2" s="1"/>
  <c r="L131" i="1" s="1"/>
  <c r="N3" i="2"/>
  <c r="O3" i="2" s="1"/>
  <c r="P3" i="2" s="1"/>
  <c r="Q3" i="2" s="1"/>
  <c r="L130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9" i="1"/>
  <c r="L134" i="1"/>
  <c r="Q16" i="2"/>
  <c r="R16" i="2"/>
  <c r="S16" i="2"/>
  <c r="B120" i="1" l="1"/>
  <c r="B124" i="1"/>
  <c r="D124" i="1" s="1"/>
  <c r="B15" i="1"/>
  <c r="H56" i="1" s="1"/>
  <c r="H64" i="1" s="1"/>
  <c r="F116" i="1" s="1"/>
  <c r="Q17" i="2"/>
  <c r="Q18" i="2"/>
  <c r="H139" i="1" l="1"/>
  <c r="E119" i="1"/>
  <c r="G199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6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6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5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5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9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9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9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9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9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9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9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7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7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7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8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8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8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6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<sst xmlns="http://schemas.openxmlformats.org/spreadsheetml/2006/main" count="622" uniqueCount="289">
  <si>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</si>
  <si>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</si>
  <si>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</si>
  <si>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</si>
  <si>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</si>
  <si>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</si>
  <si>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</si>
  <si>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</si>
  <si>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</si>
  <si>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</si>
  <si>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</si>
  <si>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</si>
  <si>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</si>
  <si>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</si>
  <si>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</si>
  <si>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</si>
  <si>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</si>
  <si>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</si>
  <si>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</si>
  <si>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</si>
  <si>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</si>
  <si>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</si>
  <si>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</si>
  <si>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</si>
  <si>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</si>
  <si>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</si>
  <si>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</si>
  <si>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</si>
  <si>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</si>
  <si>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</si>
  <si>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</si>
  <si>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</si>
  <si>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</si>
  <si>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</si>
  <si>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</si>
  <si>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</si>
  <si>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</si>
  <si>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</si>
  <si>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</si>
  <si>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</si>
  <si>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</si>
  <si>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</si>
  <si>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</si>
  <si>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</si>
  <si>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</si>
  <si>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</si>
  <si>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</si>
  <si>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</si>
  <si>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</si>
  <si>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</si>
  <si>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</si>
  <si>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</si>
  <si>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</si>
  <si>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</si>
  <si>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</si>
  <si>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</si>
  <si>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</si>
  <si>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</si>
  <si>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</si>
  <si>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</si>
  <si>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</si>
  <si>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</si>
  <si>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</si>
  <si>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</si>
  <si>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</si>
  <si>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</si>
  <si>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</si>
  <si>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</si>
  <si>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</si>
  <si>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</si>
  <si>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</si>
  <si>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</si>
  <si>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</si>
  <si>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</si>
  <si>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</si>
  <si>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</si>
  <si>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</si>
  <si>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</si>
  <si>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</si>
  <si>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</si>
  <si>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</si>
  <si>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</si>
  <si>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</si>
  <si>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</si>
  <si>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</si>
  <si>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</si>
  <si>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</si>
  <si>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</si>
  <si>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</si>
  <si>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</si>
  <si>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</si>
  <si>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</si>
  <si>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</si>
  <si>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</si>
  <si>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</si>
  <si>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</si>
  <si>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</si>
  <si>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</si>
  <si>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</si>
  <si>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</si>
  <si>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</si>
  <si>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</si>
  <si>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</si>
  <si>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</si>
  <si>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</si>
  <si>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</si>
  <si>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</si>
  <si>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</si>
  <si>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</si>
  <si>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</si>
  <si>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</si>
  <si>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</si>
  <si>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</si>
  <si>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</si>
  <si>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</si>
  <si>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</si>
  <si>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</si>
  <si>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</si>
  <si>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</si>
  <si>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</si>
  <si>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</si>
  <si>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</si>
  <si>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</si>
  <si>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</si>
  <si>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</si>
  <si>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</si>
  <si>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</si>
  <si>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</si>
  <si>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</si>
  <si>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</si>
  <si>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</si>
  <si>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</si>
  <si>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</si>
  <si>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</si>
  <si>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</si>
  <si>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</si>
  <si>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</si>
  <si>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</si>
  <si>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</si>
  <si>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</si>
  <si>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</si>
  <si>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</si>
  <si>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</si>
  <si>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</si>
  <si>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</si>
  <si>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</si>
  <si>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</si>
  <si>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</si>
  <si>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</si>
  <si>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</si>
  <si>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</si>
  <si>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</si>
  <si>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</si>
  <si>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</si>
  <si>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</si>
  <si>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</si>
  <si>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</si>
  <si>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</si>
  <si>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</si>
  <si>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</si>
  <si>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</si>
  <si>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</si>
  <si>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</si>
  <si>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</si>
  <si>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</si>
  <si>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</si>
  <si>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</si>
  <si>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</si>
  <si>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</si>
  <si>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</si>
  <si>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</si>
  <si>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</si>
  <si>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</si>
  <si>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</si>
  <si>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</si>
  <si>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</si>
  <si>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</si>
  <si>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</si>
  <si>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</si>
  <si>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</si>
  <si>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</si>
  <si>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</si>
  <si>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</si>
  <si>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</si>
  <si>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</si>
  <si>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</si>
  <si>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</si>
  <si>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</si>
  <si>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</si>
  <si>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</si>
  <si>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</si>
  <si>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</si>
  <si>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</si>
  <si>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</si>
  <si>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</si>
  <si>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</si>
  <si>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</si>
  <si>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</si>
  <si>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</si>
  <si>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</si>
  <si>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</si>
  <si>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</si>
  <si>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</si>
  <si>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</si>
  <si>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</si>
  <si>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</si>
  <si>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</si>
  <si>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</si>
  <si>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</si>
  <si>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</si>
  <si>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</si>
  <si>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</si>
  <si>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</si>
  <si>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</si>
  <si>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</si>
  <si>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</si>
  <si>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</si>
  <si>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</si>
  <si>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</si>
  <si>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</si>
  <si>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</si>
  <si>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</si>
  <si>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</si>
  <si>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</si>
  <si>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</si>
  <si>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</si>
  <si>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</si>
  <si>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</si>
  <si>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</si>
  <si>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</si>
  <si>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</si>
  <si>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</si>
  <si>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</si>
  <si>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</si>
  <si>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</si>
  <si>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</si>
  <si>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</si>
  <si>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</si>
  <si>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</si>
  <si>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</si>
  <si>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</si>
  <si>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</si>
  <si>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</si>
  <si>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Rápido</t>
  </si>
  <si>
    <t>5000 men</t>
  </si>
  <si>
    <t>Kaiser Wilhlemsland</t>
  </si>
  <si>
    <t>Alemania</t>
  </si>
  <si>
    <t>Togo</t>
  </si>
  <si>
    <t>Camerún</t>
  </si>
  <si>
    <t>Africa Oeste</t>
  </si>
  <si>
    <t>Africa Este</t>
  </si>
  <si>
    <t>Excelente</t>
  </si>
  <si>
    <t>5,5 sem</t>
  </si>
  <si>
    <t>Atlántico</t>
  </si>
  <si>
    <t>Atlántico Sur</t>
  </si>
  <si>
    <t>Índico</t>
  </si>
  <si>
    <t>Báltico</t>
  </si>
  <si>
    <t>Buena</t>
  </si>
  <si>
    <t xml:space="preserve">Bremerhaven, Wilhemshaven (Atlántico), Kiel, Danzig, Konigsburg (Báltico) </t>
  </si>
  <si>
    <t>Mar del Norte: Helligoland</t>
  </si>
  <si>
    <t>Índico: Dar Es Salam</t>
  </si>
  <si>
    <t xml:space="preserve">Wesel, Cologne, Strasbourg, Breslav, Poznan, Saarbruken, Danzig, Kiel, Heligoland, Wilhelmshaven, Konigsburg, Mulhouse, Metz </t>
  </si>
  <si>
    <t>Kamerún</t>
  </si>
  <si>
    <t>África del Oeste</t>
  </si>
  <si>
    <t>Kaiser Wilhelmsland y Archip. Bismarck</t>
  </si>
  <si>
    <t>Islas Carolinas</t>
  </si>
  <si>
    <t>Islas Marianas</t>
  </si>
  <si>
    <t>Islas Palau</t>
  </si>
  <si>
    <t>Tropical en Togo y África Este</t>
  </si>
  <si>
    <t>África Este</t>
  </si>
  <si>
    <t>Exótico</t>
  </si>
  <si>
    <t>nada</t>
  </si>
  <si>
    <t>Expansión</t>
  </si>
  <si>
    <t>Dar Es Salam - Lago Tanganica</t>
  </si>
  <si>
    <t>Duala-Gaoundere</t>
  </si>
  <si>
    <t>África del Este</t>
  </si>
  <si>
    <t>(AL) Armas Ligeras C</t>
  </si>
  <si>
    <t>En Stok:</t>
  </si>
  <si>
    <t>2 AL-E</t>
  </si>
  <si>
    <t>Atlántico Sur: Lome (Togo), Douala (Camerún), Swakopmund (Namibia).</t>
  </si>
  <si>
    <t>(AM) Ametralladoras C</t>
  </si>
  <si>
    <t>(AC) Artillería de Campaña C</t>
  </si>
  <si>
    <t>Red Nacional Chilena</t>
  </si>
  <si>
    <t>Holanda (hasta 1895)</t>
  </si>
  <si>
    <t>España  (hasta 1894)</t>
  </si>
  <si>
    <t>Suecia-Noruega (hasta 1893)</t>
  </si>
  <si>
    <t>Chile  (hasta 1893)</t>
  </si>
  <si>
    <t>Venezuela (hasta 1893)</t>
  </si>
  <si>
    <t>Imp. Otomano  (hasta 1893)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</si>
</sst>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7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9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7" x14ac:dyDescent="0.5">
      <c r="A1" s="183" t="s">
        <v>228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</row>
    <row r="2" spans="1:17" ht="18" thickBot="1" x14ac:dyDescent="0.55000000000000004">
      <c r="A2" s="86" t="s">
        <v>6</v>
      </c>
      <c r="B2" s="86" t="s">
        <v>59</v>
      </c>
    </row>
    <row r="3" spans="1:17" ht="18" thickBot="1" x14ac:dyDescent="0.55000000000000004">
      <c r="A3" s="87" t="s">
        <v>61</v>
      </c>
      <c r="B3" s="87" t="s">
        <v>44</v>
      </c>
      <c r="G3" s="87" t="s">
        <v>76</v>
      </c>
      <c r="H3" s="87">
        <v>1892</v>
      </c>
    </row>
    <row r="4" spans="1:17" ht="18" thickBot="1" x14ac:dyDescent="0.55000000000000004">
      <c r="A4" s="87" t="s">
        <v>62</v>
      </c>
      <c r="B4" s="87">
        <v>45.13</v>
      </c>
      <c r="C4" s="88"/>
      <c r="G4" s="87" t="s">
        <v>77</v>
      </c>
      <c r="H4" s="87" t="s">
        <v>243</v>
      </c>
    </row>
    <row r="5" spans="1:17" ht="18" thickBot="1" x14ac:dyDescent="0.55000000000000004">
      <c r="A5" s="87" t="s">
        <v>63</v>
      </c>
      <c r="B5" s="89">
        <f>B4-Militar!P12</f>
        <v>33.980000000000004</v>
      </c>
    </row>
    <row r="6" spans="1:17" ht="18" thickBot="1" x14ac:dyDescent="0.55000000000000004">
      <c r="A6" s="87" t="s">
        <v>64</v>
      </c>
      <c r="B6" s="87" t="s">
        <v>44</v>
      </c>
    </row>
    <row r="7" spans="1:17" ht="18" thickBot="1" x14ac:dyDescent="0.55000000000000004">
      <c r="A7" s="180" t="s">
        <v>65</v>
      </c>
      <c r="B7" s="182"/>
      <c r="G7" s="185" t="s">
        <v>78</v>
      </c>
      <c r="H7" s="185"/>
      <c r="I7" s="90">
        <v>0</v>
      </c>
      <c r="J7" s="91"/>
    </row>
    <row r="8" spans="1:17" ht="18" thickBot="1" x14ac:dyDescent="0.55000000000000004">
      <c r="A8" s="87" t="s">
        <v>72</v>
      </c>
      <c r="B8" s="90">
        <f>(VLOOKUP(B6,Econ_chart,5,FALSE))*B5</f>
        <v>271.84000000000003</v>
      </c>
      <c r="C8" s="92"/>
      <c r="G8" s="185" t="s">
        <v>79</v>
      </c>
      <c r="H8" s="185"/>
      <c r="I8" s="90">
        <f>I7*J13</f>
        <v>0</v>
      </c>
      <c r="Q8" s="179"/>
    </row>
    <row r="9" spans="1:17" ht="18" thickBot="1" x14ac:dyDescent="0.55000000000000004">
      <c r="A9" s="87" t="s">
        <v>73</v>
      </c>
      <c r="B9" s="90">
        <f>Colonias!C7+Ferrocarriles!D1</f>
        <v>50</v>
      </c>
      <c r="C9" s="92"/>
      <c r="H9" s="87" t="s">
        <v>2</v>
      </c>
      <c r="I9" s="90">
        <f>SUM(I7:I8)</f>
        <v>0</v>
      </c>
      <c r="J9" s="93"/>
    </row>
    <row r="10" spans="1:17" ht="18" thickBot="1" x14ac:dyDescent="0.55000000000000004">
      <c r="A10" s="87" t="s">
        <v>74</v>
      </c>
      <c r="B10" s="90">
        <v>5</v>
      </c>
    </row>
    <row r="11" spans="1:17" ht="18" thickBot="1" x14ac:dyDescent="0.55000000000000004">
      <c r="A11" s="87" t="s">
        <v>75</v>
      </c>
      <c r="B11" s="90">
        <f>Militar!O12</f>
        <v>47</v>
      </c>
      <c r="J11" s="94"/>
      <c r="K11" s="186"/>
    </row>
    <row r="12" spans="1:17" ht="19.5" customHeight="1" thickBot="1" x14ac:dyDescent="0.55000000000000004">
      <c r="A12" s="94"/>
      <c r="B12" s="95"/>
      <c r="C12" s="94"/>
      <c r="D12" s="186"/>
      <c r="G12" s="184"/>
      <c r="H12" s="184"/>
      <c r="I12" s="96"/>
      <c r="J12" s="87" t="s">
        <v>81</v>
      </c>
      <c r="K12" s="186"/>
    </row>
    <row r="13" spans="1:17" ht="18" thickBot="1" x14ac:dyDescent="0.55000000000000004">
      <c r="A13" s="94"/>
      <c r="B13" s="95"/>
      <c r="C13" s="94"/>
      <c r="D13" s="186"/>
      <c r="G13" s="185" t="s">
        <v>80</v>
      </c>
      <c r="H13" s="185"/>
      <c r="I13" s="87" t="s">
        <v>20</v>
      </c>
      <c r="J13" s="97">
        <v>0.2</v>
      </c>
      <c r="K13" s="96"/>
    </row>
    <row r="14" spans="1:17" ht="18" thickBot="1" x14ac:dyDescent="0.55000000000000004">
      <c r="A14" s="94"/>
      <c r="B14" s="95"/>
      <c r="C14" s="98"/>
      <c r="D14" s="96"/>
      <c r="H14" s="94"/>
      <c r="I14" s="96"/>
    </row>
    <row r="15" spans="1:17" ht="18" thickBot="1" x14ac:dyDescent="0.55000000000000004">
      <c r="A15" s="87" t="s">
        <v>100</v>
      </c>
      <c r="B15" s="90">
        <f>B8+B9+B10-B11</f>
        <v>279.84000000000003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3" t="s">
        <v>230</v>
      </c>
      <c r="B18" s="183"/>
      <c r="C18" s="183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87" t="s">
        <v>86</v>
      </c>
      <c r="J20" s="187"/>
      <c r="K20" s="187"/>
      <c r="L20" s="187"/>
      <c r="M20" s="187"/>
      <c r="N20" s="187"/>
    </row>
    <row r="21" spans="1:17" ht="18.399999999999999" thickTop="1" thickBot="1" x14ac:dyDescent="0.55000000000000004">
      <c r="A21" s="87" t="s">
        <v>82</v>
      </c>
      <c r="B21" s="87">
        <v>16</v>
      </c>
      <c r="C21" s="87">
        <v>13</v>
      </c>
      <c r="D21" s="87">
        <v>5</v>
      </c>
      <c r="E21" s="87">
        <v>0</v>
      </c>
      <c r="F21" s="87">
        <v>4</v>
      </c>
      <c r="G21" s="87">
        <v>2</v>
      </c>
      <c r="I21" s="99"/>
      <c r="J21" s="99"/>
      <c r="K21" s="187" t="s">
        <v>89</v>
      </c>
      <c r="L21" s="187"/>
      <c r="M21" s="187" t="s">
        <v>90</v>
      </c>
      <c r="N21" s="187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2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16</v>
      </c>
      <c r="C23" s="87">
        <f t="shared" ref="C23:G23" si="0">SUM(C21:C22)</f>
        <v>13</v>
      </c>
      <c r="D23" s="87">
        <f t="shared" si="0"/>
        <v>5</v>
      </c>
      <c r="E23" s="87">
        <f t="shared" si="0"/>
        <v>2</v>
      </c>
      <c r="F23" s="87">
        <f t="shared" si="0"/>
        <v>4</v>
      </c>
      <c r="G23" s="87">
        <f t="shared" si="0"/>
        <v>2</v>
      </c>
      <c r="I23" s="99" t="s">
        <v>91</v>
      </c>
      <c r="J23" s="100">
        <v>22</v>
      </c>
      <c r="K23" s="100">
        <f>J23+(J23*0.3)</f>
        <v>28.6</v>
      </c>
      <c r="L23" s="100">
        <f>J23-(J23*0.3)</f>
        <v>15.4</v>
      </c>
      <c r="M23" s="100">
        <f>J23-(J23*0.2)</f>
        <v>17.600000000000001</v>
      </c>
      <c r="N23" s="100">
        <f>J23+(J23*0.2)</f>
        <v>26.4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7.5216666666666674</v>
      </c>
      <c r="C24" s="101">
        <f>ROUNDUP(B4/(VLOOKUP(B6,Econ_chart,3,FALSE)),0)</f>
        <v>19</v>
      </c>
      <c r="D24" s="101">
        <v>0</v>
      </c>
      <c r="E24" s="101">
        <f>ROUNDUP(B4/(VLOOKUP(B6,Econ_chart,4,FALSE)),0)</f>
        <v>7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-7.5216666666666674</v>
      </c>
      <c r="C25" s="103">
        <f>C21-C24</f>
        <v>-6</v>
      </c>
      <c r="D25" s="104">
        <f>D23</f>
        <v>5</v>
      </c>
      <c r="E25" s="103">
        <f>E23-E24</f>
        <v>-5</v>
      </c>
      <c r="F25" s="104">
        <f>F23</f>
        <v>4</v>
      </c>
      <c r="G25" s="104">
        <f>G23</f>
        <v>2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107" t="s">
        <v>268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88" t="s">
        <v>98</v>
      </c>
      <c r="P29" s="188"/>
      <c r="Q29" s="188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1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220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3" t="s">
        <v>229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</row>
    <row r="38" spans="1:16" ht="18" thickBot="1" x14ac:dyDescent="0.55000000000000004"/>
    <row r="39" spans="1:16" ht="18" thickBot="1" x14ac:dyDescent="0.55000000000000004">
      <c r="B39" s="180" t="s">
        <v>109</v>
      </c>
      <c r="C39" s="181"/>
      <c r="D39" s="182"/>
      <c r="J39" s="180" t="s">
        <v>110</v>
      </c>
      <c r="K39" s="181"/>
      <c r="L39" s="181"/>
      <c r="M39" s="182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283</v>
      </c>
      <c r="B41" s="148">
        <v>3</v>
      </c>
      <c r="C41" s="148">
        <v>1</v>
      </c>
      <c r="D41" s="148"/>
      <c r="E41" s="148"/>
      <c r="F41" s="148"/>
      <c r="G41" s="148"/>
      <c r="H41" s="148">
        <v>60</v>
      </c>
      <c r="J41" s="148"/>
      <c r="K41" s="148"/>
      <c r="L41" s="148"/>
      <c r="M41" s="148">
        <v>5</v>
      </c>
      <c r="N41" s="148"/>
      <c r="O41" s="148"/>
      <c r="P41" s="148">
        <v>76</v>
      </c>
    </row>
    <row r="42" spans="1:16" x14ac:dyDescent="0.5">
      <c r="A42" s="147" t="s">
        <v>285</v>
      </c>
      <c r="B42" s="148"/>
      <c r="C42" s="148"/>
      <c r="D42" s="148"/>
      <c r="E42" s="148"/>
      <c r="F42" s="148"/>
      <c r="G42" s="148"/>
      <c r="H42" s="148">
        <v>30</v>
      </c>
      <c r="J42" s="148"/>
      <c r="K42" s="148"/>
      <c r="L42" s="148"/>
      <c r="M42" s="148"/>
      <c r="N42" s="148"/>
      <c r="O42" s="148">
        <v>3</v>
      </c>
      <c r="P42" s="148"/>
    </row>
    <row r="43" spans="1:16" x14ac:dyDescent="0.5">
      <c r="A43" s="147" t="s">
        <v>286</v>
      </c>
      <c r="B43" s="148"/>
      <c r="C43" s="148"/>
      <c r="D43" s="148"/>
      <c r="E43" s="148"/>
      <c r="F43" s="148"/>
      <c r="G43" s="148"/>
      <c r="H43" s="149">
        <v>20</v>
      </c>
      <c r="J43" s="148"/>
      <c r="K43" s="148"/>
      <c r="L43" s="148">
        <v>2</v>
      </c>
      <c r="M43" s="148"/>
      <c r="N43" s="148"/>
      <c r="O43" s="148"/>
      <c r="P43" s="148"/>
    </row>
    <row r="44" spans="1:16" x14ac:dyDescent="0.5">
      <c r="A44" s="147" t="s">
        <v>287</v>
      </c>
      <c r="B44" s="148"/>
      <c r="C44" s="148"/>
      <c r="D44" s="148"/>
      <c r="E44" s="148"/>
      <c r="F44" s="148"/>
      <c r="G44" s="148"/>
      <c r="H44" s="149">
        <v>11</v>
      </c>
      <c r="J44" s="148"/>
      <c r="K44" s="148"/>
      <c r="L44" s="148"/>
      <c r="M44" s="148">
        <v>1</v>
      </c>
      <c r="N44" s="148"/>
      <c r="O44" s="148"/>
      <c r="P44" s="148"/>
    </row>
    <row r="45" spans="1:16" x14ac:dyDescent="0.5">
      <c r="A45" s="147" t="s">
        <v>288</v>
      </c>
      <c r="B45" s="148">
        <v>1</v>
      </c>
      <c r="C45" s="148"/>
      <c r="D45" s="148"/>
      <c r="E45" s="148"/>
      <c r="F45" s="148"/>
      <c r="G45" s="148"/>
      <c r="H45" s="149">
        <v>20</v>
      </c>
      <c r="J45" s="148"/>
      <c r="K45" s="148"/>
      <c r="L45" s="148">
        <v>2</v>
      </c>
      <c r="M45" s="148"/>
      <c r="N45" s="148"/>
      <c r="O45" s="148"/>
      <c r="P45" s="148">
        <v>21</v>
      </c>
    </row>
    <row r="46" spans="1:16" x14ac:dyDescent="0.5">
      <c r="A46" s="147" t="s">
        <v>284</v>
      </c>
      <c r="B46" s="148"/>
      <c r="C46" s="148"/>
      <c r="D46" s="148"/>
      <c r="E46" s="148"/>
      <c r="F46" s="148"/>
      <c r="G46" s="148"/>
      <c r="H46" s="148">
        <v>10</v>
      </c>
      <c r="J46" s="148"/>
      <c r="K46" s="148"/>
      <c r="L46" s="148">
        <v>1</v>
      </c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>
        <v>1</v>
      </c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26.4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5</v>
      </c>
      <c r="C53" s="108">
        <f t="shared" si="7"/>
        <v>1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-151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5</v>
      </c>
      <c r="M53" s="108">
        <f t="shared" si="8"/>
        <v>6</v>
      </c>
      <c r="N53" s="108">
        <f t="shared" si="8"/>
        <v>0</v>
      </c>
      <c r="O53" s="108">
        <f t="shared" si="8"/>
        <v>3</v>
      </c>
      <c r="P53" s="113">
        <f xml:space="preserve"> SUM(P41:P51)-P52</f>
        <v>123.4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-12.521666666666668</v>
      </c>
      <c r="C56" s="101">
        <f t="shared" si="9"/>
        <v>-7</v>
      </c>
      <c r="D56" s="101">
        <f t="shared" si="9"/>
        <v>10</v>
      </c>
      <c r="E56" s="101">
        <f t="shared" si="9"/>
        <v>1</v>
      </c>
      <c r="F56" s="101">
        <f t="shared" si="9"/>
        <v>4</v>
      </c>
      <c r="G56" s="101">
        <f t="shared" si="9"/>
        <v>5</v>
      </c>
      <c r="H56" s="116">
        <f>B15+H53+P53</f>
        <v>252.24000000000004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-12.521666666666668</v>
      </c>
      <c r="C64" s="101">
        <f>C56</f>
        <v>-7</v>
      </c>
      <c r="D64" s="101">
        <f>D56-D60</f>
        <v>10</v>
      </c>
      <c r="E64" s="101">
        <f>E63+E56</f>
        <v>1</v>
      </c>
      <c r="F64" s="101">
        <f>F56-F61-F62</f>
        <v>4</v>
      </c>
      <c r="G64" s="101">
        <f>G56-G61-G62</f>
        <v>5</v>
      </c>
      <c r="H64" s="116">
        <f>H56-H63</f>
        <v>252.24000000000004</v>
      </c>
      <c r="I64" s="87">
        <f>B23-I60-I61-I62-I63</f>
        <v>16</v>
      </c>
    </row>
    <row r="66" spans="1:16" x14ac:dyDescent="0.5">
      <c r="A66" s="183" t="s">
        <v>137</v>
      </c>
      <c r="B66" s="183"/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3"/>
      <c r="N66" s="183"/>
      <c r="O66" s="183"/>
      <c r="P66" s="183"/>
    </row>
    <row r="68" spans="1:16" ht="18" thickBot="1" x14ac:dyDescent="0.55000000000000004">
      <c r="A68" s="118" t="s">
        <v>235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0" t="s">
        <v>127</v>
      </c>
      <c r="B69" s="200" t="s">
        <v>117</v>
      </c>
      <c r="C69" s="200" t="s">
        <v>242</v>
      </c>
      <c r="D69" s="200" t="s">
        <v>126</v>
      </c>
      <c r="E69" s="189" t="s">
        <v>119</v>
      </c>
      <c r="F69" s="189" t="s">
        <v>118</v>
      </c>
      <c r="G69" s="193" t="s">
        <v>117</v>
      </c>
      <c r="H69" s="193" t="s">
        <v>121</v>
      </c>
    </row>
    <row r="70" spans="1:16" ht="18" thickBot="1" x14ac:dyDescent="0.55000000000000004">
      <c r="A70" s="201"/>
      <c r="B70" s="201"/>
      <c r="C70" s="201"/>
      <c r="D70" s="201"/>
      <c r="E70" s="190"/>
      <c r="F70" s="190"/>
      <c r="G70" s="194"/>
      <c r="H70" s="194"/>
    </row>
    <row r="71" spans="1:16" ht="18" thickBot="1" x14ac:dyDescent="0.55000000000000004">
      <c r="A71" s="87" t="s">
        <v>135</v>
      </c>
      <c r="B71" s="90">
        <v>55</v>
      </c>
      <c r="C71" s="97">
        <v>0.66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78" t="s">
        <v>135</v>
      </c>
      <c r="B72" s="90">
        <v>55</v>
      </c>
      <c r="C72" s="97">
        <v>0.33</v>
      </c>
      <c r="D72" s="150" t="s">
        <v>10</v>
      </c>
      <c r="E72" s="97">
        <f t="shared" ref="E72:E84" si="10">IF(H72="Si",0.4,0.33)</f>
        <v>0.33</v>
      </c>
      <c r="F72" s="97" t="str">
        <f t="shared" ref="F72:F84" si="11">IF(D72="Si",(IF((C72+E72)&gt;1,1,(C72+E72)))," ")</f>
        <v xml:space="preserve"> </v>
      </c>
      <c r="G72" s="90" t="str">
        <f t="shared" ref="G72:G84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78" t="s">
        <v>135</v>
      </c>
      <c r="B73" s="90">
        <v>55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78" t="s">
        <v>135</v>
      </c>
      <c r="B74" s="90">
        <v>55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92</v>
      </c>
      <c r="B75" s="90">
        <v>60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95</v>
      </c>
      <c r="B76" s="90">
        <v>50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s="152" customFormat="1" ht="18" thickBot="1" x14ac:dyDescent="0.55000000000000004">
      <c r="A77" s="151" t="s">
        <v>95</v>
      </c>
      <c r="B77" s="90">
        <v>50</v>
      </c>
      <c r="C77" s="97"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7" t="s">
        <v>10</v>
      </c>
      <c r="I77" s="120"/>
    </row>
    <row r="78" spans="1:16" s="152" customFormat="1" ht="18" thickBot="1" x14ac:dyDescent="0.55000000000000004">
      <c r="A78" s="151" t="s">
        <v>96</v>
      </c>
      <c r="B78" s="90">
        <v>70</v>
      </c>
      <c r="C78" s="97"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7" t="s">
        <v>10</v>
      </c>
      <c r="I78" s="120"/>
    </row>
    <row r="79" spans="1:16" s="152" customFormat="1" ht="18" thickBot="1" x14ac:dyDescent="0.55000000000000004">
      <c r="A79" s="151" t="s">
        <v>99</v>
      </c>
      <c r="B79" s="90">
        <v>65</v>
      </c>
      <c r="C79" s="97"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7" t="s">
        <v>10</v>
      </c>
      <c r="I79" s="120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87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A82" s="147"/>
      <c r="B82" s="90" t="str">
        <f>IF(A82="","",VLOOKUP(A82,Colonias!$B$35:$E$38,4,FALSE))</f>
        <v/>
      </c>
      <c r="C82" s="97">
        <f>IF(A82="",0,VLOOKUP(A82,Colonias!$B$35:$F$38,5,FALSE))</f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51" t="str">
        <f>IF(A82="","No",VLOOKUP(A82,Colonias!$B$35:$G$38,6,FALSE))</f>
        <v>No</v>
      </c>
      <c r="I82" s="88"/>
    </row>
    <row r="83" spans="1:9" ht="18" thickBot="1" x14ac:dyDescent="0.55000000000000004">
      <c r="A83" s="147"/>
      <c r="B83" s="90" t="str">
        <f>IF(A83="","",VLOOKUP(A83,Colonias!$B$35:$E$38,4,FALSE))</f>
        <v/>
      </c>
      <c r="C83" s="97">
        <f>IF(A83="",0,VLOOKUP(A83,Colonias!$B$35:$F$38,5,FALSE))</f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151" t="str">
        <f>IF(A83="","No",VLOOKUP(A83,Colonias!$B$35:$G$38,6,FALSE))</f>
        <v>No</v>
      </c>
      <c r="I83" s="88"/>
    </row>
    <row r="84" spans="1:9" ht="18" thickBot="1" x14ac:dyDescent="0.55000000000000004">
      <c r="A84" s="147"/>
      <c r="B84" s="90" t="str">
        <f>IF(A84="","",VLOOKUP(A84,Colonias!$B$35:$E$38,4,FALSE))</f>
        <v/>
      </c>
      <c r="C84" s="97">
        <f>IF(A84="",0,VLOOKUP(A84,Colonias!$B$35:$F$38,5,FALSE))</f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1" t="str">
        <f>IF(A84="","No",VLOOKUP(A84,Colonias!$B$35:$G$38,6,FALSE))</f>
        <v>No</v>
      </c>
      <c r="I84" s="88"/>
    </row>
    <row r="85" spans="1:9" ht="18" thickBot="1" x14ac:dyDescent="0.55000000000000004">
      <c r="B85" s="92"/>
      <c r="F85" s="121" t="s">
        <v>2</v>
      </c>
      <c r="G85" s="122">
        <f>SUM(G71:G84)</f>
        <v>0</v>
      </c>
    </row>
    <row r="86" spans="1:9" ht="18" thickBot="1" x14ac:dyDescent="0.55000000000000004">
      <c r="A86" s="123" t="s">
        <v>236</v>
      </c>
      <c r="B86" s="92"/>
      <c r="F86" s="94"/>
      <c r="G86" s="95"/>
    </row>
    <row r="87" spans="1:9" ht="18" thickBot="1" x14ac:dyDescent="0.55000000000000004">
      <c r="A87" s="87" t="s">
        <v>122</v>
      </c>
      <c r="B87" s="87" t="s">
        <v>117</v>
      </c>
      <c r="C87" s="87" t="s">
        <v>123</v>
      </c>
      <c r="D87" s="87" t="s">
        <v>126</v>
      </c>
      <c r="E87" s="87" t="s">
        <v>124</v>
      </c>
      <c r="F87" s="87" t="s">
        <v>117</v>
      </c>
      <c r="G87" s="9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87" t="str">
        <f>IF(A88="","",VLOOKUP(A88,Ferrocarriles!$F$5:$H$10,3,FALSE))</f>
        <v/>
      </c>
      <c r="D88" s="158" t="s">
        <v>10</v>
      </c>
      <c r="E88" s="87">
        <f>IF(D88="Si",1,0)</f>
        <v>0</v>
      </c>
      <c r="F88" s="90">
        <f>IF(D88="Si",B88,0)</f>
        <v>0</v>
      </c>
      <c r="G88" s="124"/>
      <c r="H88" s="125"/>
    </row>
    <row r="89" spans="1:9" ht="18" thickBot="1" x14ac:dyDescent="0.55000000000000004">
      <c r="A89" s="147"/>
      <c r="B89" s="90" t="str">
        <f>IF(A89="","",VLOOKUP(A89,Ferrocarriles!$F$5:$H$10,2,FALSE))</f>
        <v/>
      </c>
      <c r="C89" s="151" t="str">
        <f>IF(A89="","",VLOOKUP(A89,Ferrocarriles!$F$5:$H$10,3,FALSE))</f>
        <v/>
      </c>
      <c r="D89" s="158" t="s">
        <v>10</v>
      </c>
      <c r="E89" s="87">
        <f t="shared" ref="E89:E91" si="13">IF(D89="Si",1,0)</f>
        <v>0</v>
      </c>
      <c r="F89" s="90">
        <f t="shared" ref="F89:F91" si="14">IF(D89="Si",B89,0)</f>
        <v>0</v>
      </c>
      <c r="G89" s="124"/>
      <c r="H89" s="125"/>
    </row>
    <row r="90" spans="1:9" ht="18" thickBot="1" x14ac:dyDescent="0.55000000000000004">
      <c r="A90" s="147"/>
      <c r="B90" s="90" t="str">
        <f>IF(A90="","",VLOOKUP(A90,Ferrocarriles!$F$5:$H$10,2,FALSE))</f>
        <v/>
      </c>
      <c r="C90" s="151" t="str">
        <f>IF(A90="","",VLOOKUP(A90,Ferrocarriles!$F$5:$H$10,3,FALSE))</f>
        <v/>
      </c>
      <c r="D90" s="158" t="s">
        <v>10</v>
      </c>
      <c r="E90" s="87">
        <f t="shared" si="13"/>
        <v>0</v>
      </c>
      <c r="F90" s="90">
        <f t="shared" si="14"/>
        <v>0</v>
      </c>
      <c r="G90" s="124"/>
      <c r="H90" s="125"/>
    </row>
    <row r="91" spans="1:9" ht="18" thickBot="1" x14ac:dyDescent="0.55000000000000004">
      <c r="A91" s="147"/>
      <c r="B91" s="90" t="str">
        <f>IF(A91="","",VLOOKUP(A91,Ferrocarriles!$F$5:$H$10,2,FALSE))</f>
        <v/>
      </c>
      <c r="C91" s="151" t="str">
        <f>IF(A91="","",VLOOKUP(A91,Ferrocarriles!$F$5:$H$10,3,FALSE))</f>
        <v/>
      </c>
      <c r="D91" s="158" t="s">
        <v>10</v>
      </c>
      <c r="E91" s="87">
        <f t="shared" si="13"/>
        <v>0</v>
      </c>
      <c r="F91" s="90">
        <f t="shared" si="14"/>
        <v>0</v>
      </c>
      <c r="G91" s="124"/>
      <c r="H91" s="125"/>
    </row>
    <row r="92" spans="1:9" ht="18" thickBot="1" x14ac:dyDescent="0.55000000000000004">
      <c r="B92" s="92"/>
      <c r="D92" s="87" t="s">
        <v>41</v>
      </c>
      <c r="E92" s="87">
        <f>SUM(E88:E91)</f>
        <v>0</v>
      </c>
      <c r="F92" s="90">
        <f>SUM(F88:F91)</f>
        <v>0</v>
      </c>
      <c r="G92" s="95"/>
    </row>
    <row r="93" spans="1:9" x14ac:dyDescent="0.5">
      <c r="B93" s="92"/>
      <c r="D93" s="94"/>
      <c r="E93" s="126" t="str">
        <f>IF(E92&gt;B62,"Need to build more HI points to complete this investment(s)"," ")</f>
        <v xml:space="preserve"> </v>
      </c>
      <c r="F93" s="94"/>
      <c r="G93" s="95"/>
    </row>
    <row r="94" spans="1:9" x14ac:dyDescent="0.5">
      <c r="B94" s="92"/>
      <c r="F94" s="94"/>
      <c r="G94" s="95"/>
    </row>
    <row r="95" spans="1:9" ht="18" thickBot="1" x14ac:dyDescent="0.55000000000000004">
      <c r="A95" s="123" t="s">
        <v>237</v>
      </c>
      <c r="B95" s="92"/>
      <c r="F95" s="92"/>
    </row>
    <row r="96" spans="1:9" ht="18" thickBot="1" x14ac:dyDescent="0.55000000000000004">
      <c r="A96" s="87" t="s">
        <v>125</v>
      </c>
      <c r="B96" s="87" t="s">
        <v>117</v>
      </c>
      <c r="F96" s="90" t="s">
        <v>117</v>
      </c>
      <c r="G96" s="87" t="s">
        <v>122</v>
      </c>
    </row>
    <row r="97" spans="1:10" ht="18" thickBot="1" x14ac:dyDescent="0.55000000000000004">
      <c r="A97" s="159"/>
      <c r="B97" s="160"/>
      <c r="C97" s="88"/>
      <c r="D97" s="120"/>
      <c r="F97" s="90">
        <f>B97</f>
        <v>0</v>
      </c>
      <c r="G97" s="158" t="s">
        <v>10</v>
      </c>
    </row>
    <row r="98" spans="1:10" ht="18" thickBot="1" x14ac:dyDescent="0.55000000000000004">
      <c r="A98" s="159"/>
      <c r="B98" s="160"/>
      <c r="C98" s="88"/>
      <c r="D98" s="114"/>
      <c r="F98" s="90">
        <f>B98</f>
        <v>0</v>
      </c>
      <c r="G98" s="158" t="s">
        <v>10</v>
      </c>
    </row>
    <row r="99" spans="1:10" ht="18" thickBot="1" x14ac:dyDescent="0.55000000000000004">
      <c r="A99" s="159"/>
      <c r="B99" s="160"/>
      <c r="C99" s="88"/>
      <c r="D99" s="125"/>
      <c r="F99" s="90">
        <f>B99</f>
        <v>0</v>
      </c>
      <c r="G99" s="158" t="s">
        <v>10</v>
      </c>
    </row>
    <row r="100" spans="1:10" ht="18" thickBot="1" x14ac:dyDescent="0.55000000000000004">
      <c r="A100" s="159"/>
      <c r="B100" s="160"/>
      <c r="C100" s="88"/>
      <c r="F100" s="90">
        <f>B100</f>
        <v>0</v>
      </c>
      <c r="G100" s="158" t="s">
        <v>10</v>
      </c>
    </row>
    <row r="101" spans="1:10" ht="18" thickBot="1" x14ac:dyDescent="0.55000000000000004">
      <c r="B101" s="92"/>
      <c r="E101" s="87" t="s">
        <v>3</v>
      </c>
      <c r="F101" s="116">
        <f>SUM(F97:F100)</f>
        <v>0</v>
      </c>
    </row>
    <row r="102" spans="1:10" x14ac:dyDescent="0.5">
      <c r="B102" s="92"/>
    </row>
    <row r="103" spans="1:10" ht="18" thickBot="1" x14ac:dyDescent="0.55000000000000004">
      <c r="A103" s="127" t="s">
        <v>234</v>
      </c>
      <c r="B103" s="92"/>
    </row>
    <row r="104" spans="1:10" ht="18" thickBot="1" x14ac:dyDescent="0.55000000000000004">
      <c r="C104" s="87" t="s">
        <v>129</v>
      </c>
      <c r="E104" s="87" t="s">
        <v>130</v>
      </c>
      <c r="F104" s="85" t="s">
        <v>6</v>
      </c>
    </row>
    <row r="105" spans="1:10" ht="18" thickBot="1" x14ac:dyDescent="0.55000000000000004">
      <c r="A105" s="87" t="s">
        <v>128</v>
      </c>
      <c r="B105" s="87" t="s">
        <v>117</v>
      </c>
      <c r="C105" s="87" t="s">
        <v>7</v>
      </c>
      <c r="D105" s="87" t="s">
        <v>126</v>
      </c>
      <c r="E105" s="87" t="s">
        <v>7</v>
      </c>
      <c r="F105" s="90" t="s">
        <v>117</v>
      </c>
    </row>
    <row r="106" spans="1:10" ht="18" thickBot="1" x14ac:dyDescent="0.55000000000000004">
      <c r="A106" s="87" t="s">
        <v>276</v>
      </c>
      <c r="B106" s="90">
        <v>40</v>
      </c>
      <c r="C106" s="97">
        <v>0</v>
      </c>
      <c r="D106" s="158" t="s">
        <v>10</v>
      </c>
      <c r="E106" s="97" t="str">
        <f>IF(D106="Si",(C106+0.2),IF(D106="Continue",(C106)," "))</f>
        <v xml:space="preserve"> </v>
      </c>
      <c r="F106" s="90" t="str">
        <f>IF(D106="Si",B106,IF(D106="Continue",5,""))</f>
        <v/>
      </c>
      <c r="G106" s="125"/>
    </row>
    <row r="107" spans="1:10" ht="18" thickBot="1" x14ac:dyDescent="0.55000000000000004">
      <c r="A107" s="87" t="s">
        <v>280</v>
      </c>
      <c r="B107" s="90">
        <v>40</v>
      </c>
      <c r="C107" s="97">
        <v>0</v>
      </c>
      <c r="D107" s="158" t="s">
        <v>10</v>
      </c>
      <c r="E107" s="97" t="str">
        <f t="shared" ref="E107:E114" si="15">IF(D107="Si",(C107+0.2),IF(D107="Continue",(C107)," "))</f>
        <v xml:space="preserve"> </v>
      </c>
      <c r="F107" s="90" t="str">
        <f t="shared" ref="F107:F114" si="16">IF(D107="Si",B107,IF(D107="Continue",5,""))</f>
        <v/>
      </c>
      <c r="G107" s="125"/>
    </row>
    <row r="108" spans="1:10" ht="18" thickBot="1" x14ac:dyDescent="0.55000000000000004">
      <c r="A108" s="87" t="s">
        <v>281</v>
      </c>
      <c r="B108" s="90">
        <v>40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88"/>
      <c r="J108" s="179"/>
    </row>
    <row r="109" spans="1:10" ht="18" thickBot="1" x14ac:dyDescent="0.55000000000000004">
      <c r="A109" s="87" t="s">
        <v>152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88"/>
    </row>
    <row r="110" spans="1:10" ht="18" thickBot="1" x14ac:dyDescent="0.55000000000000004">
      <c r="A110" s="87" t="s">
        <v>153</v>
      </c>
      <c r="B110" s="90">
        <v>30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125"/>
    </row>
    <row r="111" spans="1:10" ht="18" thickBot="1" x14ac:dyDescent="0.55000000000000004">
      <c r="A111" s="87" t="s">
        <v>154</v>
      </c>
      <c r="B111" s="90">
        <v>30</v>
      </c>
      <c r="C111" s="97">
        <v>0</v>
      </c>
      <c r="D111" s="158" t="s">
        <v>10</v>
      </c>
      <c r="E111" s="97" t="str">
        <f t="shared" si="15"/>
        <v xml:space="preserve"> </v>
      </c>
      <c r="F111" s="90" t="str">
        <f t="shared" si="16"/>
        <v/>
      </c>
      <c r="G111" s="125"/>
    </row>
    <row r="112" spans="1:10" ht="18" thickBot="1" x14ac:dyDescent="0.55000000000000004">
      <c r="A112" s="87" t="s">
        <v>155</v>
      </c>
      <c r="B112" s="90">
        <v>30</v>
      </c>
      <c r="C112" s="97">
        <v>0</v>
      </c>
      <c r="D112" s="158" t="s">
        <v>10</v>
      </c>
      <c r="E112" s="97" t="str">
        <f t="shared" si="15"/>
        <v xml:space="preserve"> </v>
      </c>
      <c r="F112" s="90" t="str">
        <f t="shared" si="16"/>
        <v/>
      </c>
      <c r="G112" s="125"/>
    </row>
    <row r="113" spans="1:12" ht="18" thickBot="1" x14ac:dyDescent="0.55000000000000004">
      <c r="A113" s="87" t="s">
        <v>156</v>
      </c>
      <c r="B113" s="90">
        <v>40</v>
      </c>
      <c r="C113" s="97">
        <v>0</v>
      </c>
      <c r="D113" s="158" t="s">
        <v>10</v>
      </c>
      <c r="E113" s="97" t="str">
        <f t="shared" si="15"/>
        <v xml:space="preserve"> </v>
      </c>
      <c r="F113" s="90" t="str">
        <f t="shared" si="16"/>
        <v/>
      </c>
      <c r="G113" s="88" t="str">
        <f t="shared" ref="G113" si="17">IF(D113="Continue","New roll to complete investment at current %"," ")</f>
        <v xml:space="preserve"> </v>
      </c>
    </row>
    <row r="114" spans="1:12" ht="18" thickBot="1" x14ac:dyDescent="0.55000000000000004">
      <c r="A114" s="87" t="s">
        <v>131</v>
      </c>
      <c r="B114" s="90">
        <v>40</v>
      </c>
      <c r="C114" s="97">
        <v>0</v>
      </c>
      <c r="D114" s="117" t="s">
        <v>10</v>
      </c>
      <c r="E114" s="97" t="str">
        <f t="shared" si="15"/>
        <v xml:space="preserve"> </v>
      </c>
      <c r="F114" s="90" t="str">
        <f t="shared" si="16"/>
        <v/>
      </c>
      <c r="G114" s="88"/>
    </row>
    <row r="115" spans="1:12" ht="18" thickBot="1" x14ac:dyDescent="0.55000000000000004">
      <c r="E115" s="128" t="s">
        <v>2</v>
      </c>
      <c r="F115" s="129">
        <f>SUM(F106:F113)</f>
        <v>0</v>
      </c>
      <c r="G115" s="88"/>
    </row>
    <row r="116" spans="1:12" ht="18" thickBot="1" x14ac:dyDescent="0.55000000000000004">
      <c r="D116" s="87"/>
      <c r="E116" s="130" t="s">
        <v>136</v>
      </c>
      <c r="F116" s="116">
        <f>H64-G85-F101-F115-F92</f>
        <v>252.24000000000004</v>
      </c>
    </row>
    <row r="118" spans="1:12" ht="18" thickBot="1" x14ac:dyDescent="0.55000000000000004">
      <c r="A118" s="118" t="s">
        <v>238</v>
      </c>
      <c r="B118" s="119"/>
      <c r="C118" s="119"/>
      <c r="D118" s="119"/>
      <c r="E118" s="119"/>
      <c r="F118" s="119"/>
      <c r="G118" s="119"/>
      <c r="H118" s="119"/>
      <c r="I118" s="119"/>
    </row>
    <row r="119" spans="1:12" ht="18" thickBot="1" x14ac:dyDescent="0.55000000000000004">
      <c r="A119" s="87" t="s">
        <v>132</v>
      </c>
      <c r="B119" s="87">
        <f>B62-E92</f>
        <v>0</v>
      </c>
      <c r="D119" s="87" t="s">
        <v>134</v>
      </c>
      <c r="E119" s="116">
        <f>F116</f>
        <v>252.24000000000004</v>
      </c>
    </row>
    <row r="120" spans="1:12" x14ac:dyDescent="0.5">
      <c r="A120" s="94"/>
      <c r="B120" s="126" t="str">
        <f>IF(B119&lt;0,"Not enough HI ava"," ")</f>
        <v xml:space="preserve"> </v>
      </c>
      <c r="D120" s="94"/>
      <c r="E120" s="96"/>
    </row>
    <row r="121" spans="1:12" ht="18" thickBot="1" x14ac:dyDescent="0.55000000000000004">
      <c r="B121" s="85" t="s">
        <v>124</v>
      </c>
    </row>
    <row r="122" spans="1:12" ht="18" thickBot="1" x14ac:dyDescent="0.55000000000000004">
      <c r="A122" s="87" t="s">
        <v>139</v>
      </c>
      <c r="B122" s="157">
        <v>0</v>
      </c>
    </row>
    <row r="123" spans="1:12" ht="18" thickBot="1" x14ac:dyDescent="0.55000000000000004">
      <c r="A123" s="87" t="s">
        <v>138</v>
      </c>
      <c r="B123" s="157">
        <v>0</v>
      </c>
    </row>
    <row r="124" spans="1:12" ht="18" thickBot="1" x14ac:dyDescent="0.55000000000000004">
      <c r="A124" s="87" t="s">
        <v>2</v>
      </c>
      <c r="B124" s="108">
        <f>B119-B122-B123</f>
        <v>0</v>
      </c>
      <c r="D124" s="85" t="str">
        <f>IF(B124&lt;0,"Total Exceeds ava HI points"," ")</f>
        <v xml:space="preserve"> </v>
      </c>
    </row>
    <row r="127" spans="1:12" ht="18" thickBot="1" x14ac:dyDescent="0.55000000000000004">
      <c r="A127" s="127" t="s">
        <v>139</v>
      </c>
    </row>
    <row r="128" spans="1:12" x14ac:dyDescent="0.5">
      <c r="A128" s="131" t="s">
        <v>140</v>
      </c>
      <c r="B128" s="132"/>
      <c r="C128" s="132"/>
      <c r="D128" s="132"/>
      <c r="E128" s="132"/>
      <c r="F128" s="132"/>
      <c r="G128" s="132"/>
      <c r="H128" s="132"/>
      <c r="I128" s="132"/>
      <c r="J128" s="132"/>
      <c r="K128" s="195" t="s">
        <v>151</v>
      </c>
      <c r="L128" s="191" t="s">
        <v>117</v>
      </c>
    </row>
    <row r="129" spans="1:13" ht="18" thickBot="1" x14ac:dyDescent="0.55000000000000004">
      <c r="A129" s="133" t="s">
        <v>141</v>
      </c>
      <c r="B129" s="134">
        <f>B122*8</f>
        <v>0</v>
      </c>
      <c r="C129" s="134" t="s">
        <v>146</v>
      </c>
      <c r="D129" s="134" t="s">
        <v>148</v>
      </c>
      <c r="E129" s="134" t="s">
        <v>147</v>
      </c>
      <c r="F129" s="134" t="s">
        <v>148</v>
      </c>
      <c r="G129" s="134" t="s">
        <v>149</v>
      </c>
      <c r="H129" s="134" t="s">
        <v>148</v>
      </c>
      <c r="I129" s="134" t="s">
        <v>150</v>
      </c>
      <c r="J129" s="134" t="s">
        <v>148</v>
      </c>
      <c r="K129" s="196"/>
      <c r="L129" s="192"/>
    </row>
    <row r="130" spans="1:13" ht="18" thickBot="1" x14ac:dyDescent="0.55000000000000004">
      <c r="A130" s="87" t="s">
        <v>142</v>
      </c>
      <c r="B130" s="151" t="str">
        <f>IF(B122&gt;0, 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Data!Q3</f>
        <v>0</v>
      </c>
      <c r="M130" s="93" t="str">
        <f>IF(K130&gt;8,"Need to reduce number of weapons ordered"," ")</f>
        <v xml:space="preserve"> </v>
      </c>
    </row>
    <row r="131" spans="1:13" ht="18" thickBot="1" x14ac:dyDescent="0.55000000000000004">
      <c r="A131" s="87" t="s">
        <v>143</v>
      </c>
      <c r="B131" s="151" t="str">
        <f>IF(B122&gt;1,8," ")</f>
        <v xml:space="preserve"> </v>
      </c>
      <c r="C131" s="157"/>
      <c r="D131" s="158"/>
      <c r="E131" s="157"/>
      <c r="F131" s="158"/>
      <c r="G131" s="157"/>
      <c r="H131" s="158"/>
      <c r="I131" s="157"/>
      <c r="J131" s="158"/>
      <c r="K131" s="87">
        <f>C131+E131+(G131*2)+(I131*4)</f>
        <v>0</v>
      </c>
      <c r="L131" s="116">
        <f>Data!Q4</f>
        <v>0</v>
      </c>
      <c r="M131" s="93" t="str">
        <f t="shared" ref="M131:M133" si="18">IF(K131&gt;8,"Need to reduce number of weapons ordered"," ")</f>
        <v xml:space="preserve"> </v>
      </c>
    </row>
    <row r="132" spans="1:13" ht="18" thickBot="1" x14ac:dyDescent="0.55000000000000004">
      <c r="A132" s="87" t="s">
        <v>144</v>
      </c>
      <c r="B132" s="151" t="str">
        <f>IF(B122&gt;2,8," ")</f>
        <v xml:space="preserve"> </v>
      </c>
      <c r="C132" s="157"/>
      <c r="D132" s="158"/>
      <c r="E132" s="157"/>
      <c r="F132" s="158"/>
      <c r="G132" s="157"/>
      <c r="H132" s="158"/>
      <c r="I132" s="157"/>
      <c r="J132" s="158"/>
      <c r="K132" s="87">
        <f>C132+E132+(G132*2)+(I132*4)</f>
        <v>0</v>
      </c>
      <c r="L132" s="116">
        <f>Data!Q5</f>
        <v>0</v>
      </c>
      <c r="M132" s="93" t="str">
        <f t="shared" si="18"/>
        <v xml:space="preserve"> </v>
      </c>
    </row>
    <row r="133" spans="1:13" ht="18" thickBot="1" x14ac:dyDescent="0.55000000000000004">
      <c r="A133" s="87" t="s">
        <v>145</v>
      </c>
      <c r="B133" s="151" t="str">
        <f>IF(B122&gt;3,8," ")</f>
        <v xml:space="preserve"> </v>
      </c>
      <c r="C133" s="157"/>
      <c r="D133" s="158"/>
      <c r="E133" s="157"/>
      <c r="F133" s="158"/>
      <c r="G133" s="157"/>
      <c r="H133" s="158"/>
      <c r="I133" s="157"/>
      <c r="J133" s="158"/>
      <c r="K133" s="87">
        <f>C133+E133+(G133*2)+(I133*4)</f>
        <v>0</v>
      </c>
      <c r="L133" s="116">
        <f>Data!Q6</f>
        <v>0</v>
      </c>
      <c r="M133" s="93" t="str">
        <f t="shared" si="18"/>
        <v xml:space="preserve"> </v>
      </c>
    </row>
    <row r="134" spans="1:13" ht="18" thickBot="1" x14ac:dyDescent="0.55000000000000004">
      <c r="K134" s="87" t="s">
        <v>2</v>
      </c>
      <c r="L134" s="116">
        <f>SUM(L130:L133)</f>
        <v>0</v>
      </c>
    </row>
    <row r="135" spans="1:13" x14ac:dyDescent="0.5">
      <c r="A135" s="85" t="s">
        <v>6</v>
      </c>
    </row>
    <row r="136" spans="1:13" x14ac:dyDescent="0.5">
      <c r="B136" s="119"/>
      <c r="C136" s="119"/>
      <c r="D136" s="119"/>
      <c r="E136" s="119"/>
      <c r="F136" s="119"/>
      <c r="G136" s="119"/>
      <c r="H136" s="119"/>
      <c r="I136" s="119"/>
    </row>
    <row r="137" spans="1:13" ht="18" thickBot="1" x14ac:dyDescent="0.55000000000000004">
      <c r="A137" s="118" t="s">
        <v>162</v>
      </c>
      <c r="B137" s="135"/>
      <c r="C137" s="135"/>
      <c r="D137" s="135"/>
      <c r="E137" s="135"/>
      <c r="F137" s="94"/>
      <c r="G137" s="94"/>
    </row>
    <row r="138" spans="1:13" ht="18" thickBot="1" x14ac:dyDescent="0.55000000000000004">
      <c r="A138" s="184"/>
      <c r="B138" s="184"/>
      <c r="C138" s="135"/>
      <c r="D138" s="87" t="s">
        <v>157</v>
      </c>
      <c r="E138" s="87" t="s">
        <v>158</v>
      </c>
      <c r="F138" s="87" t="s">
        <v>159</v>
      </c>
      <c r="G138" s="87" t="s">
        <v>160</v>
      </c>
      <c r="H138" s="87" t="s">
        <v>117</v>
      </c>
      <c r="I138" s="87" t="s">
        <v>161</v>
      </c>
    </row>
    <row r="139" spans="1:13" ht="18" thickBot="1" x14ac:dyDescent="0.55000000000000004">
      <c r="A139" s="184"/>
      <c r="B139" s="184"/>
      <c r="C139" s="135"/>
      <c r="D139" s="161">
        <v>0</v>
      </c>
      <c r="E139" s="161">
        <v>0</v>
      </c>
      <c r="F139" s="161">
        <v>0</v>
      </c>
      <c r="G139" s="161">
        <v>0</v>
      </c>
      <c r="H139" s="90">
        <f>(D139*Data!Q17)+(Data!Q18*E139)+(F139*Data!Q17)+(G139*Data!Q17)</f>
        <v>0</v>
      </c>
      <c r="I139" s="87">
        <f>(D139+E139+F139+G139)*200000</f>
        <v>0</v>
      </c>
    </row>
    <row r="142" spans="1:13" x14ac:dyDescent="0.5">
      <c r="A142" s="119"/>
      <c r="B142" s="119"/>
      <c r="C142" s="119"/>
      <c r="D142" s="119"/>
      <c r="E142" s="119"/>
      <c r="F142" s="119"/>
      <c r="G142" s="119"/>
      <c r="H142" s="119"/>
      <c r="I142" s="119"/>
    </row>
    <row r="143" spans="1:13" ht="18" thickBot="1" x14ac:dyDescent="0.55000000000000004">
      <c r="A143" s="123" t="s">
        <v>138</v>
      </c>
    </row>
    <row r="144" spans="1:13" ht="18" thickBot="1" x14ac:dyDescent="0.55000000000000004">
      <c r="A144" s="87" t="s">
        <v>163</v>
      </c>
      <c r="B144" s="87">
        <f>B123*20</f>
        <v>0</v>
      </c>
    </row>
    <row r="145" spans="1:8" ht="18" thickBot="1" x14ac:dyDescent="0.55000000000000004"/>
    <row r="146" spans="1:8" x14ac:dyDescent="0.5">
      <c r="A146" s="131"/>
      <c r="B146" s="132"/>
      <c r="C146" s="132"/>
      <c r="D146" s="132"/>
      <c r="E146" s="132"/>
      <c r="F146" s="195" t="s">
        <v>167</v>
      </c>
      <c r="G146" s="136"/>
    </row>
    <row r="147" spans="1:8" ht="18" thickBot="1" x14ac:dyDescent="0.55000000000000004">
      <c r="A147" s="133" t="s">
        <v>164</v>
      </c>
      <c r="B147" s="134" t="s">
        <v>165</v>
      </c>
      <c r="C147" s="134" t="s">
        <v>123</v>
      </c>
      <c r="D147" s="134" t="s">
        <v>166</v>
      </c>
      <c r="E147" s="134" t="s">
        <v>148</v>
      </c>
      <c r="F147" s="196"/>
      <c r="G147" s="137" t="s">
        <v>117</v>
      </c>
    </row>
    <row r="148" spans="1:8" ht="18" thickBot="1" x14ac:dyDescent="0.55000000000000004">
      <c r="A148" s="158"/>
      <c r="B148" s="87" t="str">
        <f t="shared" ref="B148:B153" si="19">IF(A148&gt;" ",(VLOOKUP(A148,Ship_size,2,FALSE))," ")</f>
        <v xml:space="preserve"> </v>
      </c>
      <c r="C148" s="87" t="str">
        <f t="shared" ref="C148:C153" si="20">IF(A148&gt;" ",(VLOOKUP(A148,Ship_size,3,FALSE))," ")</f>
        <v xml:space="preserve"> </v>
      </c>
      <c r="D148" s="158"/>
      <c r="E148" s="158"/>
      <c r="F148" s="87">
        <f>IF(A148&gt;" ",(B148*D148),0)</f>
        <v>0</v>
      </c>
      <c r="G148" s="116">
        <f>IF(A148&gt;" ",(VLOOKUP(A148,Ship_size,Data!E40,FALSE)*D148),0)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1" si="21">IF(A149&gt;" ",(B149*D149),0)</f>
        <v>0</v>
      </c>
      <c r="G149" s="116">
        <f>IF(A149&gt;" ",(VLOOKUP(A149,Ship_size,Data!E41,FALSE)*D149),0)</f>
        <v>0</v>
      </c>
      <c r="H149" s="8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1"/>
        <v>0</v>
      </c>
      <c r="G150" s="116">
        <f>IF(A150&gt;" ",(VLOOKUP(A150,Ship_size,Data!E42,FALSE)*D150),0)</f>
        <v>0</v>
      </c>
      <c r="H150" s="88"/>
    </row>
    <row r="151" spans="1:8" ht="18" thickBot="1" x14ac:dyDescent="0.55000000000000004">
      <c r="A151" s="158"/>
      <c r="B151" s="87" t="str">
        <f t="shared" si="19"/>
        <v xml:space="preserve"> </v>
      </c>
      <c r="C151" s="87" t="str">
        <f t="shared" si="20"/>
        <v xml:space="preserve"> </v>
      </c>
      <c r="D151" s="158"/>
      <c r="E151" s="158"/>
      <c r="F151" s="87">
        <f t="shared" si="21"/>
        <v>0</v>
      </c>
      <c r="G151" s="116">
        <f>IF(A151&gt;" ",(VLOOKUP(A151,Ship_size,Data!E43,FALSE)*D151),0)</f>
        <v>0</v>
      </c>
      <c r="H151" s="88"/>
    </row>
    <row r="152" spans="1:8" ht="18" thickBot="1" x14ac:dyDescent="0.55000000000000004">
      <c r="A152" s="158"/>
      <c r="B152" s="87" t="str">
        <f t="shared" si="19"/>
        <v xml:space="preserve"> </v>
      </c>
      <c r="C152" s="87" t="str">
        <f t="shared" si="20"/>
        <v xml:space="preserve"> </v>
      </c>
      <c r="D152" s="158"/>
      <c r="E152" s="158"/>
      <c r="F152" s="87">
        <f t="shared" ref="F152:F153" si="22">IF(A152&gt;" ",(B152*D152),0)</f>
        <v>0</v>
      </c>
      <c r="G152" s="116">
        <f>IF(A152&gt;" ",(VLOOKUP(A152,Ship_size,Data!E44,FALSE)*D152),0)</f>
        <v>0</v>
      </c>
      <c r="H152" s="138"/>
    </row>
    <row r="153" spans="1:8" ht="18" thickBot="1" x14ac:dyDescent="0.55000000000000004">
      <c r="A153" s="158"/>
      <c r="B153" s="87" t="str">
        <f t="shared" si="19"/>
        <v xml:space="preserve"> </v>
      </c>
      <c r="C153" s="87" t="str">
        <f t="shared" si="20"/>
        <v xml:space="preserve"> </v>
      </c>
      <c r="D153" s="158"/>
      <c r="E153" s="158"/>
      <c r="F153" s="87">
        <f t="shared" si="22"/>
        <v>0</v>
      </c>
      <c r="G153" s="116">
        <f>IF(A153&gt;" ",(VLOOKUP(A153,Ship_size,Data!E45,FALSE)*D153),0)</f>
        <v>0</v>
      </c>
    </row>
    <row r="154" spans="1:8" ht="18" thickBot="1" x14ac:dyDescent="0.55000000000000004">
      <c r="C154" s="139" t="s">
        <v>6</v>
      </c>
      <c r="D154" s="140" t="s">
        <v>6</v>
      </c>
      <c r="E154" s="87" t="s">
        <v>2</v>
      </c>
      <c r="F154" s="87">
        <f>SUM(F148:F153)</f>
        <v>0</v>
      </c>
      <c r="G154" s="116">
        <f>SUM(G148:G153)</f>
        <v>0</v>
      </c>
      <c r="H154" s="93" t="str">
        <f>IF(F154&gt;B144,"Ship sizes used exceeds number of ship sizes ava"," ")</f>
        <v xml:space="preserve"> </v>
      </c>
    </row>
    <row r="156" spans="1:8" ht="18" thickBot="1" x14ac:dyDescent="0.55000000000000004">
      <c r="A156" s="85" t="s">
        <v>6</v>
      </c>
    </row>
    <row r="157" spans="1:8" x14ac:dyDescent="0.5">
      <c r="A157" s="131"/>
      <c r="B157" s="132"/>
      <c r="C157" s="132"/>
      <c r="D157" s="132"/>
      <c r="E157" s="132"/>
      <c r="F157" s="195"/>
      <c r="G157" s="136"/>
    </row>
    <row r="158" spans="1:8" ht="18" thickBot="1" x14ac:dyDescent="0.55000000000000004">
      <c r="A158" s="133" t="s">
        <v>174</v>
      </c>
      <c r="B158" s="134" t="s">
        <v>148</v>
      </c>
      <c r="C158" s="134" t="s">
        <v>166</v>
      </c>
      <c r="D158" s="141" t="s">
        <v>175</v>
      </c>
      <c r="E158" s="134"/>
      <c r="F158" s="196"/>
      <c r="G158" s="13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A160" s="87"/>
      <c r="B160" s="87"/>
      <c r="C160" s="87"/>
      <c r="D160" s="87"/>
    </row>
    <row r="161" spans="1:14" ht="18" thickBot="1" x14ac:dyDescent="0.55000000000000004">
      <c r="A161" s="87"/>
      <c r="B161" s="87"/>
      <c r="C161" s="87"/>
      <c r="D161" s="87"/>
    </row>
    <row r="162" spans="1:14" ht="18" thickBot="1" x14ac:dyDescent="0.55000000000000004">
      <c r="A162" s="87"/>
      <c r="B162" s="87"/>
      <c r="C162" s="87"/>
      <c r="D162" s="87"/>
    </row>
    <row r="163" spans="1:14" ht="18" thickBot="1" x14ac:dyDescent="0.55000000000000004">
      <c r="F163" s="87" t="s">
        <v>2</v>
      </c>
      <c r="G163" s="90">
        <v>0</v>
      </c>
    </row>
    <row r="165" spans="1:14" ht="18" thickBot="1" x14ac:dyDescent="0.55000000000000004">
      <c r="A165" s="142" t="s">
        <v>176</v>
      </c>
      <c r="B165" s="143"/>
      <c r="C165" s="143"/>
      <c r="D165" s="143"/>
      <c r="E165" s="143"/>
      <c r="F165" s="143"/>
      <c r="G165" s="143"/>
    </row>
    <row r="166" spans="1:14" ht="18" thickBot="1" x14ac:dyDescent="0.55000000000000004">
      <c r="A166" s="144" t="s">
        <v>178</v>
      </c>
      <c r="B166" s="144" t="s">
        <v>177</v>
      </c>
      <c r="C166" s="144" t="s">
        <v>117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A168" s="162"/>
      <c r="B168" s="162"/>
      <c r="C168" s="116" t="str">
        <f>IF(B168&gt;0,(VLOOKUP(B168,MilitaryB_cost,2,FALSE))," ")</f>
        <v xml:space="preserve"> </v>
      </c>
    </row>
    <row r="169" spans="1:14" ht="18" thickBot="1" x14ac:dyDescent="0.55000000000000004">
      <c r="A169" s="162"/>
      <c r="B169" s="162"/>
      <c r="C169" s="116" t="str">
        <f>IF(B169&gt;0,(VLOOKUP(B169,MilitaryB_cost,2,FALSE))," ")</f>
        <v xml:space="preserve"> </v>
      </c>
    </row>
    <row r="170" spans="1:14" ht="18" thickBot="1" x14ac:dyDescent="0.55000000000000004">
      <c r="A170" s="162"/>
      <c r="B170" s="162"/>
      <c r="C170" s="116" t="str">
        <f>IF(B170&gt;0,(VLOOKUP(B170,MilitaryB_cost,2,FALSE))," ")</f>
        <v xml:space="preserve"> </v>
      </c>
    </row>
    <row r="171" spans="1:14" ht="18" thickBot="1" x14ac:dyDescent="0.55000000000000004">
      <c r="B171" s="87" t="s">
        <v>41</v>
      </c>
      <c r="C171" s="116">
        <f>SUM(C167:C170)</f>
        <v>0</v>
      </c>
    </row>
    <row r="174" spans="1:14" x14ac:dyDescent="0.5">
      <c r="B174" s="119"/>
      <c r="C174" s="119"/>
      <c r="D174" s="119"/>
      <c r="E174" s="119"/>
      <c r="F174" s="119"/>
      <c r="G174" s="119"/>
      <c r="H174" s="119"/>
      <c r="I174" s="119"/>
    </row>
    <row r="175" spans="1:14" ht="18" thickBot="1" x14ac:dyDescent="0.55000000000000004">
      <c r="A175" s="118" t="s">
        <v>179</v>
      </c>
    </row>
    <row r="176" spans="1:14" ht="18" thickBot="1" x14ac:dyDescent="0.55000000000000004">
      <c r="A176" s="180" t="s">
        <v>180</v>
      </c>
      <c r="B176" s="181"/>
      <c r="C176" s="181"/>
      <c r="D176" s="181"/>
      <c r="E176" s="181"/>
      <c r="F176" s="182"/>
      <c r="G176" s="145" t="s">
        <v>181</v>
      </c>
      <c r="N176" s="146"/>
    </row>
    <row r="177" spans="1:7" ht="19.5" customHeight="1" thickBot="1" x14ac:dyDescent="0.55000000000000004">
      <c r="A177" s="197"/>
      <c r="B177" s="198"/>
      <c r="C177" s="198"/>
      <c r="D177" s="198"/>
      <c r="E177" s="198"/>
      <c r="F177" s="199"/>
      <c r="G177" s="160"/>
    </row>
    <row r="178" spans="1:7" ht="18" thickBot="1" x14ac:dyDescent="0.55000000000000004">
      <c r="A178" s="197"/>
      <c r="B178" s="198"/>
      <c r="C178" s="198"/>
      <c r="D178" s="198"/>
      <c r="E178" s="198"/>
      <c r="F178" s="199"/>
      <c r="G178" s="160"/>
    </row>
    <row r="179" spans="1:7" ht="19.5" customHeight="1" thickBot="1" x14ac:dyDescent="0.55000000000000004">
      <c r="A179" s="197"/>
      <c r="B179" s="198"/>
      <c r="C179" s="198"/>
      <c r="D179" s="198"/>
      <c r="E179" s="198"/>
      <c r="F179" s="199"/>
      <c r="G179" s="160"/>
    </row>
    <row r="180" spans="1:7" ht="19.5" customHeight="1" thickBot="1" x14ac:dyDescent="0.55000000000000004">
      <c r="A180" s="197"/>
      <c r="B180" s="198"/>
      <c r="C180" s="198"/>
      <c r="D180" s="198"/>
      <c r="E180" s="198"/>
      <c r="F180" s="199"/>
      <c r="G180" s="160"/>
    </row>
    <row r="181" spans="1:7" ht="19.5" customHeight="1" thickBot="1" x14ac:dyDescent="0.55000000000000004">
      <c r="A181" s="197"/>
      <c r="B181" s="198"/>
      <c r="C181" s="198"/>
      <c r="D181" s="198"/>
      <c r="E181" s="198"/>
      <c r="F181" s="199"/>
      <c r="G181" s="160"/>
    </row>
    <row r="182" spans="1:7" ht="19.5" customHeight="1" thickBot="1" x14ac:dyDescent="0.55000000000000004">
      <c r="A182" s="197"/>
      <c r="B182" s="198"/>
      <c r="C182" s="198"/>
      <c r="D182" s="198"/>
      <c r="E182" s="198"/>
      <c r="F182" s="199"/>
      <c r="G182" s="160"/>
    </row>
    <row r="183" spans="1:7" ht="19.5" customHeight="1" thickBot="1" x14ac:dyDescent="0.55000000000000004">
      <c r="A183" s="197"/>
      <c r="B183" s="198"/>
      <c r="C183" s="198"/>
      <c r="D183" s="198"/>
      <c r="E183" s="198"/>
      <c r="F183" s="199"/>
      <c r="G183" s="160"/>
    </row>
    <row r="184" spans="1:7" ht="19.5" customHeight="1" thickBot="1" x14ac:dyDescent="0.55000000000000004">
      <c r="A184" s="197"/>
      <c r="B184" s="198"/>
      <c r="C184" s="198"/>
      <c r="D184" s="198"/>
      <c r="E184" s="198"/>
      <c r="F184" s="199"/>
      <c r="G184" s="160"/>
    </row>
    <row r="185" spans="1:7" ht="19.5" customHeight="1" thickBot="1" x14ac:dyDescent="0.55000000000000004">
      <c r="A185" s="197"/>
      <c r="B185" s="198"/>
      <c r="C185" s="198"/>
      <c r="D185" s="198"/>
      <c r="E185" s="198"/>
      <c r="F185" s="199"/>
      <c r="G185" s="160"/>
    </row>
    <row r="186" spans="1:7" ht="19.5" customHeight="1" thickBot="1" x14ac:dyDescent="0.55000000000000004">
      <c r="A186" s="197"/>
      <c r="B186" s="198"/>
      <c r="C186" s="198"/>
      <c r="D186" s="198"/>
      <c r="E186" s="198"/>
      <c r="F186" s="199"/>
      <c r="G186" s="160"/>
    </row>
    <row r="187" spans="1:7" ht="18" thickBot="1" x14ac:dyDescent="0.55000000000000004">
      <c r="A187" s="197"/>
      <c r="B187" s="198"/>
      <c r="C187" s="198"/>
      <c r="D187" s="198"/>
      <c r="E187" s="198"/>
      <c r="F187" s="199"/>
      <c r="G187" s="160"/>
    </row>
    <row r="188" spans="1:7" ht="18" thickBot="1" x14ac:dyDescent="0.55000000000000004">
      <c r="A188" s="205"/>
      <c r="B188" s="206"/>
      <c r="C188" s="206"/>
      <c r="D188" s="206"/>
      <c r="E188" s="206"/>
      <c r="F188" s="207"/>
      <c r="G188" s="160"/>
    </row>
    <row r="189" spans="1:7" ht="18" thickBot="1" x14ac:dyDescent="0.55000000000000004">
      <c r="A189" s="197"/>
      <c r="B189" s="198"/>
      <c r="C189" s="198"/>
      <c r="D189" s="198"/>
      <c r="E189" s="198"/>
      <c r="F189" s="199"/>
      <c r="G189" s="163"/>
    </row>
    <row r="190" spans="1:7" ht="18" thickBot="1" x14ac:dyDescent="0.55000000000000004">
      <c r="A190" s="197"/>
      <c r="B190" s="198"/>
      <c r="C190" s="198"/>
      <c r="D190" s="198"/>
      <c r="E190" s="198"/>
      <c r="F190" s="199"/>
      <c r="G190" s="163"/>
    </row>
    <row r="191" spans="1:7" ht="18" thickBot="1" x14ac:dyDescent="0.55000000000000004">
      <c r="A191" s="202"/>
      <c r="B191" s="203"/>
      <c r="C191" s="203"/>
      <c r="D191" s="203"/>
      <c r="E191" s="203"/>
      <c r="F191" s="204"/>
      <c r="G191" s="163"/>
    </row>
    <row r="192" spans="1:7" ht="18" thickBot="1" x14ac:dyDescent="0.55000000000000004">
      <c r="A192" s="197"/>
      <c r="B192" s="198"/>
      <c r="C192" s="198"/>
      <c r="D192" s="198"/>
      <c r="E192" s="198"/>
      <c r="F192" s="199"/>
      <c r="G192" s="160"/>
    </row>
    <row r="193" spans="1:7" ht="18" thickBot="1" x14ac:dyDescent="0.55000000000000004">
      <c r="A193" s="197"/>
      <c r="B193" s="198"/>
      <c r="C193" s="198"/>
      <c r="D193" s="198"/>
      <c r="E193" s="198"/>
      <c r="F193" s="199"/>
      <c r="G193" s="160"/>
    </row>
    <row r="194" spans="1:7" ht="18" thickBot="1" x14ac:dyDescent="0.55000000000000004">
      <c r="A194" s="202"/>
      <c r="B194" s="203"/>
      <c r="C194" s="203"/>
      <c r="D194" s="203"/>
      <c r="E194" s="203"/>
      <c r="F194" s="204"/>
      <c r="G194" s="160"/>
    </row>
    <row r="195" spans="1:7" ht="18" thickBot="1" x14ac:dyDescent="0.55000000000000004">
      <c r="A195" s="197"/>
      <c r="B195" s="203"/>
      <c r="C195" s="203"/>
      <c r="D195" s="203"/>
      <c r="E195" s="203"/>
      <c r="F195" s="204"/>
      <c r="G195" s="160"/>
    </row>
    <row r="196" spans="1:7" ht="41.25" customHeight="1" thickBot="1" x14ac:dyDescent="0.55000000000000004"/>
    <row r="197" spans="1:7" ht="18" thickBot="1" x14ac:dyDescent="0.55000000000000004">
      <c r="F197" s="87" t="s">
        <v>2</v>
      </c>
      <c r="G197" s="116">
        <f>SUM(G177:G195)</f>
        <v>0</v>
      </c>
    </row>
    <row r="198" spans="1:7" ht="18" thickBot="1" x14ac:dyDescent="0.55000000000000004"/>
    <row r="199" spans="1:7" ht="18" thickBot="1" x14ac:dyDescent="0.55000000000000004">
      <c r="E199" s="180" t="s">
        <v>108</v>
      </c>
      <c r="F199" s="182"/>
      <c r="G199" s="116">
        <f>E119-L134-H139-G154-G163-C171-G197</f>
        <v>252.24000000000004</v>
      </c>
    </row>
  </sheetData>
  <sheetProtection algorithmName="SHA-512" hashValue="QKirQBMhjnOurF58cwF6RuzY+E+TZwrCQFpLBxZ7zRAoVvHGin2tT3a44PCjZJHpmrqbBJ4HLJSTIrVSI8dksA==" saltValue="aflvHmg3l3LGIYJzcmNwXA==" spinCount="100000" sheet="1" objects="1" scenarios="1"/>
  <dataConsolidate/>
  <mergeCells count="51">
    <mergeCell ref="A1:P1"/>
    <mergeCell ref="A66:P66"/>
    <mergeCell ref="A189:F189"/>
    <mergeCell ref="A192:F192"/>
    <mergeCell ref="A188:F188"/>
    <mergeCell ref="A176:F176"/>
    <mergeCell ref="A177:F177"/>
    <mergeCell ref="A180:F180"/>
    <mergeCell ref="A183:F183"/>
    <mergeCell ref="A185:F185"/>
    <mergeCell ref="A184:F184"/>
    <mergeCell ref="A179:F179"/>
    <mergeCell ref="A181:F181"/>
    <mergeCell ref="A182:F182"/>
    <mergeCell ref="G69:G70"/>
    <mergeCell ref="F69:F70"/>
    <mergeCell ref="A193:F193"/>
    <mergeCell ref="A194:F194"/>
    <mergeCell ref="A190:F190"/>
    <mergeCell ref="A191:F191"/>
    <mergeCell ref="E199:F199"/>
    <mergeCell ref="A195:F195"/>
    <mergeCell ref="E69:E70"/>
    <mergeCell ref="L128:L129"/>
    <mergeCell ref="H69:H70"/>
    <mergeCell ref="K128:K129"/>
    <mergeCell ref="A187:F187"/>
    <mergeCell ref="A178:F178"/>
    <mergeCell ref="F146:F147"/>
    <mergeCell ref="F157:F158"/>
    <mergeCell ref="A186:F186"/>
    <mergeCell ref="A138:B139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8:D91 G97:G100" xr:uid="{00000000-0002-0000-0000-000000000000}">
      <formula1>Yes_No</formula1>
    </dataValidation>
    <dataValidation type="list" showInputMessage="1" showErrorMessage="1" sqref="D130:D133 F130:F133 H130:H133 J130:J133 B159:B162 E148:E153" xr:uid="{00000000-0002-0000-0000-000001000000}">
      <formula1>Weapon_Quality</formula1>
    </dataValidation>
    <dataValidation type="list" showInputMessage="1" showErrorMessage="1" sqref="A159:A162 A148:A153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6:D114 D71:D84" xr:uid="{00000000-0002-0000-0000-000005000000}">
      <formula1>Invest_option</formula1>
    </dataValidation>
    <dataValidation type="list" showInputMessage="1" showErrorMessage="1" sqref="B167:B170" xr:uid="{00000000-0002-0000-0000-000003000000}">
      <formula1>Mil_Buildings</formula1>
    </dataValidation>
    <dataValidation showInputMessage="1" showErrorMessage="1" sqref="H71:H84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A80:A84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A88:A91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1" t="s">
        <v>187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</row>
    <row r="5" spans="1:20" ht="15.75" thickBot="1" x14ac:dyDescent="0.5">
      <c r="A5" s="84" t="s">
        <v>188</v>
      </c>
    </row>
    <row r="6" spans="1:20" ht="15.75" thickBot="1" x14ac:dyDescent="0.5">
      <c r="A6" s="50"/>
      <c r="B6" s="210" t="s">
        <v>157</v>
      </c>
      <c r="C6" s="210" t="s">
        <v>148</v>
      </c>
      <c r="D6" s="210" t="s">
        <v>186</v>
      </c>
      <c r="E6" s="210" t="s">
        <v>148</v>
      </c>
      <c r="F6" s="210" t="s">
        <v>147</v>
      </c>
      <c r="G6" s="210" t="s">
        <v>148</v>
      </c>
      <c r="H6" s="210" t="s">
        <v>149</v>
      </c>
      <c r="I6" s="210" t="s">
        <v>148</v>
      </c>
      <c r="J6" s="210" t="s">
        <v>150</v>
      </c>
      <c r="K6" s="234" t="s">
        <v>148</v>
      </c>
      <c r="N6" s="208" t="s">
        <v>189</v>
      </c>
      <c r="O6" s="208"/>
      <c r="P6" s="208"/>
    </row>
    <row r="7" spans="1:20" ht="15.75" thickBot="1" x14ac:dyDescent="0.5">
      <c r="A7" s="51" t="s">
        <v>178</v>
      </c>
      <c r="B7" s="211"/>
      <c r="C7" s="211"/>
      <c r="D7" s="211"/>
      <c r="E7" s="211"/>
      <c r="F7" s="211"/>
      <c r="G7" s="211"/>
      <c r="H7" s="211"/>
      <c r="I7" s="211"/>
      <c r="J7" s="211"/>
      <c r="K7" s="235"/>
      <c r="N7" s="7"/>
      <c r="O7" s="49" t="s">
        <v>117</v>
      </c>
      <c r="P7" s="49" t="s">
        <v>191</v>
      </c>
    </row>
    <row r="8" spans="1:20" ht="15.75" thickBot="1" x14ac:dyDescent="0.5">
      <c r="A8" s="49" t="s">
        <v>246</v>
      </c>
      <c r="B8" s="49">
        <v>20</v>
      </c>
      <c r="C8" s="49" t="s">
        <v>23</v>
      </c>
      <c r="D8" s="49">
        <v>30</v>
      </c>
      <c r="E8" s="49" t="s">
        <v>23</v>
      </c>
      <c r="F8" s="49">
        <v>18</v>
      </c>
      <c r="G8" s="49" t="s">
        <v>23</v>
      </c>
      <c r="H8" s="49">
        <v>7</v>
      </c>
      <c r="I8" s="49" t="s">
        <v>23</v>
      </c>
      <c r="J8" s="49">
        <v>6</v>
      </c>
      <c r="K8" s="49" t="s">
        <v>23</v>
      </c>
      <c r="N8" s="49" t="s">
        <v>190</v>
      </c>
      <c r="O8" s="7"/>
      <c r="P8" s="52">
        <f>B37/1000000</f>
        <v>10.8</v>
      </c>
    </row>
    <row r="9" spans="1:20" ht="15.75" thickBot="1" x14ac:dyDescent="0.5">
      <c r="A9" s="153" t="s">
        <v>246</v>
      </c>
      <c r="B9" s="49" t="s">
        <v>6</v>
      </c>
      <c r="C9" s="49"/>
      <c r="D9" s="49"/>
      <c r="E9" s="49"/>
      <c r="F9" s="49"/>
      <c r="G9" s="49"/>
      <c r="H9" s="49">
        <v>6</v>
      </c>
      <c r="I9" s="49" t="s">
        <v>24</v>
      </c>
      <c r="J9" s="49" t="s">
        <v>6</v>
      </c>
      <c r="K9" s="49"/>
      <c r="N9" s="49" t="s">
        <v>138</v>
      </c>
      <c r="O9" s="53">
        <f>B65</f>
        <v>18</v>
      </c>
      <c r="P9" s="49">
        <f>B66</f>
        <v>0.35000000000000003</v>
      </c>
    </row>
    <row r="10" spans="1:20" ht="15.75" thickBot="1" x14ac:dyDescent="0.5">
      <c r="A10" s="49" t="s">
        <v>247</v>
      </c>
      <c r="B10" s="49" t="s">
        <v>244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248</v>
      </c>
      <c r="B11" s="49" t="s">
        <v>244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192</v>
      </c>
      <c r="O11" s="53">
        <f>B99</f>
        <v>29</v>
      </c>
      <c r="P11" s="7"/>
    </row>
    <row r="12" spans="1:20" ht="15.75" thickBot="1" x14ac:dyDescent="0.5">
      <c r="A12" s="49" t="s">
        <v>249</v>
      </c>
      <c r="B12" s="49" t="s">
        <v>244</v>
      </c>
      <c r="C12" s="49" t="s">
        <v>23</v>
      </c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47</v>
      </c>
      <c r="P12" s="52">
        <f>P8+P9</f>
        <v>11.15</v>
      </c>
    </row>
    <row r="13" spans="1:20" ht="15.75" thickBot="1" x14ac:dyDescent="0.5">
      <c r="A13" s="49" t="s">
        <v>250</v>
      </c>
      <c r="B13" s="49" t="s">
        <v>244</v>
      </c>
      <c r="C13" s="49" t="s">
        <v>23</v>
      </c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 t="s">
        <v>245</v>
      </c>
      <c r="B14" s="49" t="s">
        <v>244</v>
      </c>
      <c r="C14" s="49" t="s">
        <v>23</v>
      </c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20</v>
      </c>
      <c r="C25" s="7"/>
      <c r="D25" s="49">
        <f>SUM(D8:D24)</f>
        <v>30</v>
      </c>
      <c r="E25" s="7"/>
      <c r="F25" s="49">
        <f>SUM(F8:F24)</f>
        <v>18</v>
      </c>
      <c r="G25" s="7"/>
      <c r="H25" s="49">
        <f>SUM(H8:H24)</f>
        <v>13</v>
      </c>
      <c r="I25" s="7"/>
      <c r="J25" s="49">
        <f>SUM(J8:J24)</f>
        <v>6</v>
      </c>
      <c r="K25" s="7"/>
    </row>
    <row r="26" spans="1:18" x14ac:dyDescent="0.45">
      <c r="A26" s="20" t="s">
        <v>277</v>
      </c>
      <c r="B26" s="44" t="s">
        <v>278</v>
      </c>
    </row>
    <row r="27" spans="1:18" ht="15.75" thickBot="1" x14ac:dyDescent="0.5"/>
    <row r="28" spans="1:18" ht="16.149999999999999" thickTop="1" thickBot="1" x14ac:dyDescent="0.5">
      <c r="A28" s="55" t="s">
        <v>193</v>
      </c>
      <c r="B28" s="49" t="s">
        <v>251</v>
      </c>
      <c r="C28" s="45"/>
      <c r="D28" s="168"/>
      <c r="E28" s="166"/>
      <c r="F28" s="167" t="s">
        <v>209</v>
      </c>
      <c r="G28" s="53">
        <f>B25+D25+H25+J25</f>
        <v>69</v>
      </c>
      <c r="I28" s="55" t="s">
        <v>108</v>
      </c>
      <c r="J28" s="59">
        <f>Econ!G199</f>
        <v>252.24000000000004</v>
      </c>
    </row>
    <row r="29" spans="1:18" ht="16.149999999999999" thickTop="1" thickBot="1" x14ac:dyDescent="0.5">
      <c r="A29" s="49" t="s">
        <v>194</v>
      </c>
      <c r="B29" s="49" t="s">
        <v>10</v>
      </c>
    </row>
    <row r="30" spans="1:18" ht="15.75" thickBot="1" x14ac:dyDescent="0.5">
      <c r="A30" s="56" t="s">
        <v>195</v>
      </c>
      <c r="B30" s="57" t="s">
        <v>252</v>
      </c>
      <c r="E30" s="208" t="s">
        <v>196</v>
      </c>
      <c r="F30" s="208"/>
      <c r="G30" s="208"/>
      <c r="H30" s="208"/>
      <c r="I30" s="208"/>
      <c r="J30" s="208"/>
      <c r="K30" s="208"/>
    </row>
    <row r="31" spans="1:18" ht="15.75" thickBot="1" x14ac:dyDescent="0.5">
      <c r="A31" s="44"/>
      <c r="B31" s="44"/>
      <c r="C31" s="44"/>
      <c r="E31" s="208" t="s">
        <v>61</v>
      </c>
      <c r="F31" s="208"/>
      <c r="G31" s="208"/>
      <c r="H31" s="49" t="s">
        <v>117</v>
      </c>
      <c r="I31" s="208" t="s">
        <v>197</v>
      </c>
      <c r="J31" s="208"/>
      <c r="K31" s="208"/>
    </row>
    <row r="32" spans="1:18" ht="15.75" thickBot="1" x14ac:dyDescent="0.5">
      <c r="A32" s="44"/>
      <c r="B32" s="44"/>
      <c r="C32" s="44"/>
      <c r="E32" s="212"/>
      <c r="F32" s="213"/>
      <c r="G32" s="214"/>
      <c r="H32" s="174"/>
      <c r="I32" s="212"/>
      <c r="J32" s="213"/>
      <c r="K32" s="214"/>
      <c r="R32" s="44"/>
    </row>
    <row r="33" spans="1:16" ht="15.75" thickBot="1" x14ac:dyDescent="0.5">
      <c r="A33" s="44"/>
      <c r="E33" s="212"/>
      <c r="F33" s="213"/>
      <c r="G33" s="214"/>
      <c r="H33" s="174"/>
      <c r="I33" s="212"/>
      <c r="J33" s="213"/>
      <c r="K33" s="214"/>
    </row>
    <row r="34" spans="1:16" ht="16.149999999999999" thickTop="1" thickBot="1" x14ac:dyDescent="0.5">
      <c r="A34" s="55" t="s">
        <v>6</v>
      </c>
      <c r="B34" s="55" t="s">
        <v>161</v>
      </c>
      <c r="C34" s="20" t="s">
        <v>6</v>
      </c>
      <c r="E34" s="212"/>
      <c r="F34" s="213"/>
      <c r="G34" s="214"/>
      <c r="H34" s="174"/>
      <c r="I34" s="212"/>
      <c r="J34" s="213"/>
      <c r="K34" s="214"/>
    </row>
    <row r="35" spans="1:16" ht="16.149999999999999" thickTop="1" thickBot="1" x14ac:dyDescent="0.5">
      <c r="A35" s="55" t="s">
        <v>198</v>
      </c>
      <c r="B35" s="60">
        <f>(B25+H25+J25)*200000</f>
        <v>7800000</v>
      </c>
      <c r="E35" s="212"/>
      <c r="F35" s="213"/>
      <c r="G35" s="214"/>
      <c r="H35" s="174"/>
      <c r="I35" s="212"/>
      <c r="J35" s="213"/>
      <c r="K35" s="214"/>
    </row>
    <row r="36" spans="1:16" ht="16.149999999999999" thickTop="1" thickBot="1" x14ac:dyDescent="0.5">
      <c r="A36" s="55" t="s">
        <v>199</v>
      </c>
      <c r="B36" s="60">
        <f>D25*100000</f>
        <v>3000000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10800000</v>
      </c>
    </row>
    <row r="38" spans="1:16" ht="16.149999999999999" thickTop="1" thickBot="1" x14ac:dyDescent="0.5"/>
    <row r="39" spans="1:16" ht="15.75" thickBot="1" x14ac:dyDescent="0.5">
      <c r="G39" s="208" t="s">
        <v>200</v>
      </c>
      <c r="H39" s="208"/>
      <c r="I39" s="208"/>
      <c r="J39" s="208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201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202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203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239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6" t="s">
        <v>178</v>
      </c>
      <c r="B48" s="209" t="s">
        <v>204</v>
      </c>
      <c r="C48" s="209" t="s">
        <v>148</v>
      </c>
      <c r="D48" s="209" t="s">
        <v>205</v>
      </c>
      <c r="E48" s="209" t="s">
        <v>148</v>
      </c>
      <c r="F48" s="209" t="s">
        <v>206</v>
      </c>
      <c r="G48" s="209" t="s">
        <v>148</v>
      </c>
      <c r="H48" s="209" t="s">
        <v>207</v>
      </c>
      <c r="I48" s="209" t="s">
        <v>148</v>
      </c>
      <c r="J48" s="209" t="s">
        <v>171</v>
      </c>
      <c r="K48" s="209" t="s">
        <v>148</v>
      </c>
      <c r="L48" s="209" t="s">
        <v>173</v>
      </c>
    </row>
    <row r="49" spans="1:12" ht="16.149999999999999" thickTop="1" thickBot="1" x14ac:dyDescent="0.5">
      <c r="A49" s="237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</row>
    <row r="50" spans="1:12" s="47" customFormat="1" ht="16.149999999999999" thickTop="1" thickBot="1" x14ac:dyDescent="0.5">
      <c r="A50" s="62" t="s">
        <v>253</v>
      </c>
      <c r="B50" s="63">
        <v>5</v>
      </c>
      <c r="C50" s="64" t="s">
        <v>23</v>
      </c>
      <c r="D50" s="63">
        <v>4</v>
      </c>
      <c r="E50" s="64" t="s">
        <v>23</v>
      </c>
      <c r="F50" s="67"/>
      <c r="G50" s="68"/>
      <c r="H50" s="63">
        <v>5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 t="s">
        <v>256</v>
      </c>
      <c r="B51" s="65">
        <v>2</v>
      </c>
      <c r="C51" s="66" t="s">
        <v>23</v>
      </c>
      <c r="D51" s="65">
        <v>2</v>
      </c>
      <c r="E51" s="66" t="s">
        <v>23</v>
      </c>
      <c r="F51" s="65"/>
      <c r="G51" s="66"/>
      <c r="H51" s="65">
        <v>2</v>
      </c>
      <c r="I51" s="66" t="s">
        <v>23</v>
      </c>
      <c r="J51" s="65"/>
      <c r="K51" s="66"/>
      <c r="L51" s="55" t="s">
        <v>6</v>
      </c>
    </row>
    <row r="52" spans="1:12" ht="16.149999999999999" thickTop="1" thickBot="1" x14ac:dyDescent="0.5">
      <c r="A52" s="55" t="s">
        <v>254</v>
      </c>
      <c r="B52" s="65" t="s">
        <v>6</v>
      </c>
      <c r="C52" s="66" t="s">
        <v>6</v>
      </c>
      <c r="D52" s="65">
        <v>2</v>
      </c>
      <c r="E52" s="66" t="s">
        <v>23</v>
      </c>
      <c r="F52" s="65"/>
      <c r="G52" s="66"/>
      <c r="H52" s="65">
        <v>3</v>
      </c>
      <c r="I52" s="66" t="s">
        <v>23</v>
      </c>
      <c r="J52" s="65">
        <v>4</v>
      </c>
      <c r="K52" s="66" t="s">
        <v>23</v>
      </c>
      <c r="L52" s="55" t="s">
        <v>6</v>
      </c>
    </row>
    <row r="53" spans="1:12" ht="16.149999999999999" thickTop="1" thickBot="1" x14ac:dyDescent="0.5">
      <c r="A53" s="55" t="s">
        <v>255</v>
      </c>
      <c r="B53" s="65" t="s">
        <v>6</v>
      </c>
      <c r="C53" s="66" t="s">
        <v>6</v>
      </c>
      <c r="D53" s="65">
        <v>2</v>
      </c>
      <c r="E53" s="66" t="s">
        <v>23</v>
      </c>
      <c r="F53" s="65"/>
      <c r="G53" s="66"/>
      <c r="H53" s="65">
        <v>3</v>
      </c>
      <c r="I53" s="66" t="s">
        <v>23</v>
      </c>
      <c r="J53" s="65"/>
      <c r="K53" s="66"/>
      <c r="L53" s="55" t="s">
        <v>6</v>
      </c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7</v>
      </c>
      <c r="C59" s="35"/>
      <c r="D59" s="55">
        <f>SUM(D50:D58)</f>
        <v>10</v>
      </c>
      <c r="E59" s="35"/>
      <c r="F59" s="55">
        <f>SUM(F50:F58)</f>
        <v>0</v>
      </c>
      <c r="G59" s="35"/>
      <c r="H59" s="55">
        <f>SUM(H50:H58)</f>
        <v>13</v>
      </c>
      <c r="I59" s="35"/>
      <c r="J59" s="55">
        <f>SUM(J50:J58)</f>
        <v>4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193</v>
      </c>
      <c r="B63" s="49" t="s">
        <v>257</v>
      </c>
      <c r="E63" s="49"/>
      <c r="F63" s="58" t="s">
        <v>208</v>
      </c>
      <c r="G63" s="53">
        <f>B64*0.5</f>
        <v>34.5</v>
      </c>
    </row>
    <row r="64" spans="1:12" ht="16.149999999999999" thickTop="1" thickBot="1" x14ac:dyDescent="0.5">
      <c r="A64" s="55" t="s">
        <v>210</v>
      </c>
      <c r="B64" s="55">
        <f>(B59*4)+(D59*2)+(F59*2)+(H59*1)+(J59*1)+(L59*2)</f>
        <v>69</v>
      </c>
    </row>
    <row r="65" spans="1:16" ht="16.149999999999999" thickTop="1" thickBot="1" x14ac:dyDescent="0.5">
      <c r="A65" s="55" t="s">
        <v>211</v>
      </c>
      <c r="B65" s="59">
        <f>ROUNDUP((B64/20)*5,0)</f>
        <v>18</v>
      </c>
      <c r="E65" s="208" t="s">
        <v>212</v>
      </c>
      <c r="F65" s="208"/>
      <c r="G65" s="208"/>
      <c r="H65" s="208"/>
      <c r="I65" s="208"/>
      <c r="J65" s="208"/>
      <c r="K65" s="208"/>
    </row>
    <row r="66" spans="1:16" ht="16.149999999999999" thickTop="1" thickBot="1" x14ac:dyDescent="0.5">
      <c r="A66" s="55" t="s">
        <v>161</v>
      </c>
      <c r="B66" s="55">
        <f>ROUNDUP((B64/20)*0.1,2)</f>
        <v>0.35000000000000003</v>
      </c>
      <c r="C66" s="20" t="s">
        <v>55</v>
      </c>
      <c r="E66" s="208" t="s">
        <v>213</v>
      </c>
      <c r="F66" s="208"/>
      <c r="G66" s="208"/>
      <c r="H66" s="49" t="s">
        <v>117</v>
      </c>
      <c r="I66" s="208" t="s">
        <v>197</v>
      </c>
      <c r="J66" s="208"/>
      <c r="K66" s="208"/>
    </row>
    <row r="67" spans="1:16" ht="15" customHeight="1" thickTop="1" thickBot="1" x14ac:dyDescent="0.5">
      <c r="E67" s="212"/>
      <c r="F67" s="213"/>
      <c r="G67" s="214"/>
      <c r="H67" s="174"/>
      <c r="I67" s="212"/>
      <c r="J67" s="213"/>
      <c r="K67" s="214"/>
    </row>
    <row r="68" spans="1:16" ht="15" customHeight="1" thickBot="1" x14ac:dyDescent="0.5">
      <c r="E68" s="212"/>
      <c r="F68" s="213"/>
      <c r="G68" s="214"/>
      <c r="H68" s="174"/>
      <c r="I68" s="212"/>
      <c r="J68" s="213"/>
      <c r="K68" s="214"/>
    </row>
    <row r="69" spans="1:16" ht="15" customHeight="1" thickBot="1" x14ac:dyDescent="0.5">
      <c r="E69" s="212"/>
      <c r="F69" s="213"/>
      <c r="G69" s="214"/>
      <c r="H69" s="174"/>
      <c r="I69" s="212"/>
      <c r="J69" s="213"/>
      <c r="K69" s="214"/>
    </row>
    <row r="70" spans="1:16" ht="15.75" thickBot="1" x14ac:dyDescent="0.5">
      <c r="E70" s="212"/>
      <c r="F70" s="213"/>
      <c r="G70" s="214"/>
      <c r="H70" s="174"/>
      <c r="I70" s="212"/>
      <c r="J70" s="213"/>
      <c r="K70" s="21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252.24000000000004</v>
      </c>
      <c r="I72" s="48"/>
    </row>
    <row r="75" spans="1:16" ht="15.75" thickBot="1" x14ac:dyDescent="0.5">
      <c r="A75" s="84" t="s">
        <v>240</v>
      </c>
    </row>
    <row r="76" spans="1:16" ht="15.75" thickBot="1" x14ac:dyDescent="0.5">
      <c r="A76" s="49" t="s">
        <v>214</v>
      </c>
      <c r="B76" s="49" t="s">
        <v>166</v>
      </c>
      <c r="C76" s="49" t="s">
        <v>117</v>
      </c>
      <c r="D76" s="227" t="s">
        <v>178</v>
      </c>
      <c r="E76" s="227"/>
      <c r="F76" s="227"/>
      <c r="G76" s="227"/>
      <c r="H76" s="227"/>
      <c r="I76" s="227"/>
      <c r="J76" s="227"/>
      <c r="K76" s="227"/>
      <c r="L76" s="227"/>
      <c r="M76" s="227"/>
      <c r="N76" s="227"/>
      <c r="O76" s="227"/>
      <c r="P76" s="227"/>
    </row>
    <row r="77" spans="1:16" ht="15.75" thickBot="1" x14ac:dyDescent="0.5">
      <c r="A77" s="49" t="s">
        <v>219</v>
      </c>
      <c r="B77" s="49">
        <v>5</v>
      </c>
      <c r="C77" s="69"/>
      <c r="D77" s="228" t="s">
        <v>258</v>
      </c>
      <c r="E77" s="229"/>
      <c r="F77" s="229"/>
      <c r="G77" s="229"/>
      <c r="H77" s="229"/>
      <c r="I77" s="229"/>
      <c r="J77" s="229"/>
      <c r="K77" s="229"/>
      <c r="L77" s="229"/>
      <c r="M77" s="229"/>
      <c r="N77" s="229"/>
      <c r="O77" s="229"/>
      <c r="P77" s="230"/>
    </row>
    <row r="78" spans="1:16" ht="15.75" thickBot="1" x14ac:dyDescent="0.5">
      <c r="A78" s="49" t="s">
        <v>215</v>
      </c>
      <c r="B78" s="49">
        <v>3</v>
      </c>
      <c r="C78" s="70">
        <f>B78</f>
        <v>3</v>
      </c>
      <c r="D78" s="231" t="s">
        <v>259</v>
      </c>
      <c r="E78" s="232"/>
      <c r="F78" s="232"/>
      <c r="G78" s="232"/>
      <c r="H78" s="232"/>
      <c r="I78" s="232"/>
      <c r="J78" s="232"/>
      <c r="K78" s="232"/>
      <c r="L78" s="232"/>
      <c r="M78" s="232"/>
      <c r="N78" s="232"/>
      <c r="O78" s="232"/>
      <c r="P78" s="233"/>
    </row>
    <row r="79" spans="1:16" x14ac:dyDescent="0.45">
      <c r="A79" s="35"/>
      <c r="B79" s="35"/>
      <c r="C79" s="15"/>
      <c r="D79" s="231" t="s">
        <v>279</v>
      </c>
      <c r="E79" s="245"/>
      <c r="F79" s="245"/>
      <c r="G79" s="245"/>
      <c r="H79" s="245"/>
      <c r="I79" s="245"/>
      <c r="J79" s="245"/>
      <c r="K79" s="245"/>
      <c r="L79" s="245"/>
      <c r="M79" s="245"/>
      <c r="N79" s="245"/>
      <c r="O79" s="245"/>
      <c r="P79" s="246"/>
    </row>
    <row r="80" spans="1:16" x14ac:dyDescent="0.45">
      <c r="A80" s="35"/>
      <c r="B80" s="35"/>
      <c r="C80" s="15"/>
      <c r="D80" s="231" t="s">
        <v>260</v>
      </c>
      <c r="E80" s="245"/>
      <c r="F80" s="245"/>
      <c r="G80" s="245"/>
      <c r="H80" s="245"/>
      <c r="I80" s="245"/>
      <c r="J80" s="245"/>
      <c r="K80" s="245"/>
      <c r="L80" s="245"/>
      <c r="M80" s="245"/>
      <c r="N80" s="245"/>
      <c r="O80" s="245"/>
      <c r="P80" s="246"/>
    </row>
    <row r="81" spans="1:16" x14ac:dyDescent="0.45">
      <c r="A81" s="35"/>
      <c r="B81" s="35"/>
      <c r="C81" s="15"/>
      <c r="D81" s="231"/>
      <c r="E81" s="245"/>
      <c r="F81" s="245"/>
      <c r="G81" s="245"/>
      <c r="H81" s="245"/>
      <c r="I81" s="245"/>
      <c r="J81" s="245"/>
      <c r="K81" s="245"/>
      <c r="L81" s="245"/>
      <c r="M81" s="245"/>
      <c r="N81" s="245"/>
      <c r="O81" s="245"/>
      <c r="P81" s="246"/>
    </row>
    <row r="82" spans="1:16" ht="29.25" customHeight="1" x14ac:dyDescent="0.45">
      <c r="A82" s="35"/>
      <c r="B82" s="35"/>
      <c r="C82" s="15"/>
      <c r="D82" s="247"/>
      <c r="E82" s="248"/>
      <c r="F82" s="248"/>
      <c r="G82" s="248"/>
      <c r="H82" s="248"/>
      <c r="I82" s="248"/>
      <c r="J82" s="248"/>
      <c r="K82" s="248"/>
      <c r="L82" s="248"/>
      <c r="M82" s="248"/>
      <c r="N82" s="248"/>
      <c r="O82" s="248"/>
      <c r="P82" s="249"/>
    </row>
    <row r="83" spans="1:16" ht="15.75" thickBot="1" x14ac:dyDescent="0.5">
      <c r="A83" s="35"/>
      <c r="B83" s="35"/>
      <c r="C83" s="15"/>
      <c r="D83" s="242"/>
      <c r="E83" s="243"/>
      <c r="F83" s="243"/>
      <c r="G83" s="243"/>
      <c r="H83" s="243"/>
      <c r="I83" s="243"/>
      <c r="J83" s="243"/>
      <c r="K83" s="243"/>
      <c r="L83" s="243"/>
      <c r="M83" s="243"/>
      <c r="N83" s="243"/>
      <c r="O83" s="243"/>
      <c r="P83" s="244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216</v>
      </c>
      <c r="B86" s="49" t="s">
        <v>166</v>
      </c>
      <c r="C86" s="49" t="s">
        <v>117</v>
      </c>
      <c r="D86" s="208" t="s">
        <v>178</v>
      </c>
      <c r="E86" s="208"/>
      <c r="F86" s="208"/>
      <c r="G86" s="208"/>
      <c r="H86" s="208"/>
      <c r="I86" s="208"/>
      <c r="J86" s="208"/>
      <c r="K86" s="208"/>
      <c r="L86" s="208"/>
      <c r="M86" s="208"/>
      <c r="N86" s="208"/>
      <c r="O86" s="208"/>
      <c r="P86" s="208"/>
    </row>
    <row r="87" spans="1:16" ht="15.75" thickBot="1" x14ac:dyDescent="0.5">
      <c r="A87" s="57" t="s">
        <v>219</v>
      </c>
      <c r="B87" s="57">
        <v>15</v>
      </c>
      <c r="C87" s="69"/>
      <c r="D87" s="238" t="s">
        <v>258</v>
      </c>
      <c r="E87" s="239"/>
      <c r="F87" s="239"/>
      <c r="G87" s="239"/>
      <c r="H87" s="239"/>
      <c r="I87" s="239"/>
      <c r="J87" s="239"/>
      <c r="K87" s="239"/>
      <c r="L87" s="239"/>
      <c r="M87" s="239"/>
      <c r="N87" s="239"/>
      <c r="O87" s="239"/>
      <c r="P87" s="240"/>
    </row>
    <row r="88" spans="1:16" ht="15.75" thickBot="1" x14ac:dyDescent="0.5">
      <c r="A88" s="165" t="s">
        <v>215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217</v>
      </c>
      <c r="B90" s="49" t="s">
        <v>166</v>
      </c>
      <c r="C90" s="49" t="s">
        <v>117</v>
      </c>
      <c r="D90" s="208" t="s">
        <v>178</v>
      </c>
      <c r="E90" s="208"/>
      <c r="F90" s="208"/>
      <c r="G90" s="208"/>
      <c r="H90" s="208"/>
      <c r="I90" s="208"/>
      <c r="J90" s="208"/>
      <c r="K90" s="208"/>
      <c r="L90" s="208"/>
      <c r="M90" s="208"/>
      <c r="N90" s="208"/>
      <c r="O90" s="208"/>
      <c r="P90" s="208"/>
    </row>
    <row r="91" spans="1:16" ht="15.75" thickBot="1" x14ac:dyDescent="0.5">
      <c r="A91" s="49"/>
      <c r="B91" s="49">
        <v>13</v>
      </c>
      <c r="C91" s="70">
        <f>B91*2</f>
        <v>26</v>
      </c>
      <c r="D91" s="215" t="s">
        <v>261</v>
      </c>
      <c r="E91" s="216"/>
      <c r="F91" s="216"/>
      <c r="G91" s="216"/>
      <c r="H91" s="216"/>
      <c r="I91" s="216"/>
      <c r="J91" s="216"/>
      <c r="K91" s="216"/>
      <c r="L91" s="216"/>
      <c r="M91" s="216"/>
      <c r="N91" s="216"/>
      <c r="O91" s="216"/>
      <c r="P91" s="217"/>
    </row>
    <row r="92" spans="1:16" ht="35.25" customHeight="1" thickBot="1" x14ac:dyDescent="0.5">
      <c r="D92" s="218"/>
      <c r="E92" s="219"/>
      <c r="F92" s="219"/>
      <c r="G92" s="219"/>
      <c r="H92" s="219"/>
      <c r="I92" s="219"/>
      <c r="J92" s="219"/>
      <c r="K92" s="219"/>
      <c r="L92" s="219"/>
      <c r="M92" s="219"/>
      <c r="N92" s="219"/>
      <c r="O92" s="219"/>
      <c r="P92" s="220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218</v>
      </c>
      <c r="B94" s="49" t="s">
        <v>166</v>
      </c>
      <c r="C94" s="49" t="s">
        <v>117</v>
      </c>
      <c r="D94" s="208" t="s">
        <v>178</v>
      </c>
      <c r="E94" s="208"/>
      <c r="F94" s="208"/>
      <c r="G94" s="208"/>
      <c r="H94" s="208"/>
      <c r="I94" s="208"/>
      <c r="J94" s="208"/>
      <c r="K94" s="208"/>
      <c r="L94" s="208"/>
      <c r="M94" s="208"/>
      <c r="N94" s="208"/>
      <c r="O94" s="208"/>
      <c r="P94" s="208"/>
    </row>
    <row r="95" spans="1:16" ht="15.75" thickBot="1" x14ac:dyDescent="0.5">
      <c r="A95" s="49"/>
      <c r="B95" s="49"/>
      <c r="C95" s="70">
        <f>B95*4</f>
        <v>0</v>
      </c>
      <c r="D95" s="221"/>
      <c r="E95" s="222"/>
      <c r="F95" s="222"/>
      <c r="G95" s="222"/>
      <c r="H95" s="222"/>
      <c r="I95" s="222"/>
      <c r="J95" s="222"/>
      <c r="K95" s="222"/>
      <c r="L95" s="222"/>
      <c r="M95" s="222"/>
      <c r="N95" s="222"/>
      <c r="O95" s="222"/>
      <c r="P95" s="223"/>
    </row>
    <row r="96" spans="1:16" ht="15.75" thickBot="1" x14ac:dyDescent="0.5">
      <c r="D96" s="224"/>
      <c r="E96" s="225"/>
      <c r="F96" s="225"/>
      <c r="G96" s="225"/>
      <c r="H96" s="225"/>
      <c r="I96" s="225"/>
      <c r="J96" s="225"/>
      <c r="K96" s="225"/>
      <c r="L96" s="225"/>
      <c r="M96" s="225"/>
      <c r="N96" s="225"/>
      <c r="O96" s="225"/>
      <c r="P96" s="226"/>
    </row>
    <row r="99" spans="1:17" x14ac:dyDescent="0.45">
      <c r="A99" s="168" t="s">
        <v>3</v>
      </c>
      <c r="B99" s="172">
        <f>C78+C88+C91+C95</f>
        <v>29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252.24000000000004</v>
      </c>
    </row>
  </sheetData>
  <sheetProtection algorithmName="SHA-512" hashValue="XbuYiGEbueNubkMWJPAhgAvRSNp5HICwXjmiWRU9zC+KLAo4pCjWxnC4bgkOkUDL1E6sE89NrVW/ARIpRLPxZA==" saltValue="s+rOVlLrTNTyT/jxvTwMkA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F12" sqref="F12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1" t="s">
        <v>241</v>
      </c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3"/>
      <c r="C5" s="254" t="s">
        <v>221</v>
      </c>
      <c r="D5" s="255"/>
      <c r="E5" s="255"/>
      <c r="F5" s="255"/>
      <c r="G5" s="255"/>
      <c r="H5" s="255"/>
      <c r="I5" s="256"/>
      <c r="J5" s="17"/>
      <c r="K5" s="252" t="s">
        <v>222</v>
      </c>
      <c r="L5" s="252"/>
      <c r="M5" s="252"/>
      <c r="N5" s="252"/>
      <c r="O5" s="252"/>
      <c r="P5" s="252"/>
    </row>
    <row r="6" spans="1:16" s="11" customFormat="1" ht="18" thickBot="1" x14ac:dyDescent="0.55000000000000004">
      <c r="B6" s="253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50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1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2" t="s">
        <v>223</v>
      </c>
      <c r="D9" s="252"/>
      <c r="E9" s="252"/>
      <c r="F9" s="252"/>
      <c r="G9" s="252"/>
      <c r="H9" s="252"/>
      <c r="I9" s="40"/>
      <c r="K9" s="252" t="s">
        <v>224</v>
      </c>
      <c r="L9" s="252"/>
      <c r="M9" s="252"/>
      <c r="N9" s="252"/>
      <c r="O9" s="252"/>
      <c r="P9" s="252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247</v>
      </c>
      <c r="C11" s="71">
        <v>11</v>
      </c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B12" s="12" t="s">
        <v>262</v>
      </c>
      <c r="C12" s="71">
        <v>14</v>
      </c>
      <c r="D12" s="40"/>
      <c r="E12" s="40"/>
      <c r="F12" s="40"/>
      <c r="G12" s="40"/>
      <c r="H12" s="40"/>
      <c r="I12" s="40"/>
      <c r="J12" s="30" t="s">
        <v>6</v>
      </c>
      <c r="K12" s="40">
        <v>1</v>
      </c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12" t="s">
        <v>263</v>
      </c>
      <c r="C13" s="71">
        <v>5</v>
      </c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B14" s="12" t="s">
        <v>275</v>
      </c>
      <c r="C14" s="71">
        <v>18</v>
      </c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 t="s">
        <v>264</v>
      </c>
      <c r="C15" s="71">
        <v>2</v>
      </c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 t="s">
        <v>265</v>
      </c>
      <c r="C16" s="71">
        <v>0</v>
      </c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 t="s">
        <v>266</v>
      </c>
      <c r="C17" s="71">
        <v>0</v>
      </c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 t="s">
        <v>267</v>
      </c>
      <c r="C18" s="71">
        <v>0</v>
      </c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7" t="s">
        <v>233</v>
      </c>
      <c r="C33" s="258"/>
      <c r="D33" s="258"/>
      <c r="E33" s="258"/>
      <c r="F33" s="258"/>
      <c r="G33" s="259"/>
      <c r="H33" s="28"/>
    </row>
    <row r="34" spans="2:16" x14ac:dyDescent="0.5">
      <c r="B34" s="42" t="s">
        <v>180</v>
      </c>
      <c r="C34" s="42" t="s">
        <v>213</v>
      </c>
      <c r="D34" s="42" t="s">
        <v>225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Exótico en Togo</v>
      </c>
      <c r="C35" s="42" t="s">
        <v>247</v>
      </c>
      <c r="D35" s="42" t="s">
        <v>270</v>
      </c>
      <c r="E35" s="72">
        <v>70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Exótico en Camerún</v>
      </c>
      <c r="C36" s="42" t="s">
        <v>248</v>
      </c>
      <c r="D36" s="42" t="s">
        <v>270</v>
      </c>
      <c r="E36" s="72">
        <v>70</v>
      </c>
      <c r="F36" s="156">
        <v>0</v>
      </c>
      <c r="G36" s="42" t="s">
        <v>10</v>
      </c>
    </row>
    <row r="37" spans="2:16" x14ac:dyDescent="0.5">
      <c r="B37" s="42" t="str">
        <f t="shared" si="1"/>
        <v>Exótico en África Este</v>
      </c>
      <c r="C37" s="42" t="s">
        <v>269</v>
      </c>
      <c r="D37" s="42" t="s">
        <v>270</v>
      </c>
      <c r="E37" s="72">
        <v>65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271</v>
      </c>
      <c r="D38" s="42" t="s">
        <v>271</v>
      </c>
      <c r="E38" s="72">
        <v>0</v>
      </c>
      <c r="F38" s="156">
        <v>0</v>
      </c>
      <c r="G38" s="42" t="s">
        <v>10</v>
      </c>
    </row>
    <row r="39" spans="2:16" x14ac:dyDescent="0.5">
      <c r="D39" s="250"/>
      <c r="E39" s="250"/>
      <c r="F39" s="13"/>
      <c r="G39" s="28"/>
    </row>
    <row r="40" spans="2:16" x14ac:dyDescent="0.5">
      <c r="D40" s="250"/>
      <c r="E40" s="250"/>
      <c r="F40" s="13"/>
      <c r="G40" s="28"/>
    </row>
    <row r="41" spans="2:16" x14ac:dyDescent="0.5">
      <c r="D41" s="250"/>
      <c r="E41" s="250"/>
      <c r="F41" s="13"/>
      <c r="G41" s="28"/>
    </row>
    <row r="42" spans="2:16" x14ac:dyDescent="0.5">
      <c r="D42" s="250"/>
      <c r="E42" s="250"/>
      <c r="F42" s="250"/>
      <c r="G42" s="14"/>
    </row>
    <row r="45" spans="2:16" x14ac:dyDescent="0.5">
      <c r="D45" s="250"/>
      <c r="E45" s="250"/>
      <c r="F45" s="250"/>
      <c r="G45" s="250"/>
      <c r="H45" s="250"/>
      <c r="I45" s="250"/>
      <c r="K45" s="250"/>
      <c r="L45" s="250"/>
      <c r="M45" s="250"/>
      <c r="N45" s="250"/>
      <c r="O45" s="250"/>
      <c r="P45" s="250"/>
    </row>
    <row r="49" spans="2:17" x14ac:dyDescent="0.5">
      <c r="D49" s="250"/>
      <c r="E49" s="250"/>
      <c r="F49" s="14"/>
      <c r="G49" s="28"/>
      <c r="I49" s="28"/>
    </row>
    <row r="50" spans="2:17" x14ac:dyDescent="0.5">
      <c r="D50" s="250"/>
      <c r="E50" s="250"/>
      <c r="F50" s="14"/>
      <c r="G50" s="28"/>
    </row>
    <row r="51" spans="2:17" x14ac:dyDescent="0.5">
      <c r="D51" s="250"/>
      <c r="E51" s="250"/>
      <c r="F51" s="14"/>
      <c r="G51" s="28"/>
    </row>
    <row r="52" spans="2:17" x14ac:dyDescent="0.5">
      <c r="D52" s="250"/>
      <c r="E52" s="250"/>
      <c r="F52" s="14"/>
      <c r="G52" s="28"/>
    </row>
    <row r="53" spans="2:17" x14ac:dyDescent="0.5">
      <c r="D53" s="250"/>
      <c r="E53" s="250"/>
      <c r="F53" s="13"/>
      <c r="G53" s="28"/>
      <c r="I53" s="28"/>
    </row>
    <row r="54" spans="2:17" x14ac:dyDescent="0.5">
      <c r="D54" s="250"/>
      <c r="E54" s="250"/>
      <c r="F54" s="13"/>
      <c r="G54" s="28"/>
    </row>
    <row r="55" spans="2:17" x14ac:dyDescent="0.5">
      <c r="D55" s="250"/>
      <c r="E55" s="250"/>
      <c r="F55" s="250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0"/>
      <c r="E63" s="250"/>
      <c r="F63" s="250"/>
      <c r="G63" s="250"/>
      <c r="H63" s="250"/>
      <c r="I63" s="250"/>
      <c r="K63" s="250"/>
      <c r="L63" s="250"/>
      <c r="M63" s="250"/>
      <c r="N63" s="250"/>
      <c r="O63" s="250"/>
      <c r="P63" s="250"/>
    </row>
    <row r="66" spans="4:17" x14ac:dyDescent="0.5">
      <c r="D66" s="28"/>
    </row>
    <row r="67" spans="4:17" x14ac:dyDescent="0.5">
      <c r="D67" s="250"/>
      <c r="E67" s="250"/>
      <c r="F67" s="14"/>
      <c r="G67" s="28"/>
    </row>
    <row r="68" spans="4:17" x14ac:dyDescent="0.5">
      <c r="D68" s="250"/>
      <c r="E68" s="250"/>
      <c r="F68" s="14"/>
    </row>
    <row r="69" spans="4:17" x14ac:dyDescent="0.5">
      <c r="D69" s="250"/>
      <c r="E69" s="250"/>
      <c r="F69" s="13"/>
    </row>
    <row r="70" spans="4:17" x14ac:dyDescent="0.5">
      <c r="D70" s="250"/>
      <c r="E70" s="250"/>
      <c r="F70" s="13"/>
    </row>
    <row r="71" spans="4:17" x14ac:dyDescent="0.5">
      <c r="D71" s="250"/>
      <c r="E71" s="250"/>
      <c r="F71" s="250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0"/>
      <c r="E78" s="250"/>
      <c r="F78" s="250"/>
      <c r="G78" s="250"/>
      <c r="H78" s="250"/>
      <c r="I78" s="250"/>
      <c r="K78" s="250"/>
      <c r="L78" s="250"/>
      <c r="M78" s="250"/>
      <c r="N78" s="250"/>
      <c r="O78" s="250"/>
      <c r="P78" s="250"/>
    </row>
    <row r="82" spans="4:17" x14ac:dyDescent="0.5">
      <c r="D82" s="250"/>
      <c r="E82" s="250"/>
    </row>
    <row r="83" spans="4:17" x14ac:dyDescent="0.5">
      <c r="D83" s="250"/>
      <c r="E83" s="250"/>
      <c r="F83" s="14"/>
    </row>
    <row r="86" spans="4:17" x14ac:dyDescent="0.5">
      <c r="E86" s="14"/>
      <c r="F86" s="28"/>
      <c r="J86" s="28"/>
    </row>
    <row r="87" spans="4:17" x14ac:dyDescent="0.5">
      <c r="D87" s="250"/>
      <c r="E87" s="250"/>
      <c r="F87" s="250"/>
      <c r="G87" s="250"/>
      <c r="H87" s="250"/>
      <c r="I87" s="250"/>
      <c r="K87" s="250"/>
      <c r="L87" s="250"/>
      <c r="M87" s="250"/>
      <c r="N87" s="250"/>
      <c r="O87" s="250"/>
      <c r="P87" s="250"/>
    </row>
    <row r="91" spans="4:17" x14ac:dyDescent="0.5">
      <c r="D91" s="250"/>
      <c r="E91" s="250"/>
      <c r="F91" s="14"/>
      <c r="H91" s="28"/>
    </row>
    <row r="92" spans="4:17" x14ac:dyDescent="0.5">
      <c r="D92" s="250"/>
      <c r="E92" s="250"/>
      <c r="F92" s="14"/>
    </row>
    <row r="93" spans="4:17" x14ac:dyDescent="0.5">
      <c r="D93" s="250"/>
      <c r="E93" s="250"/>
      <c r="F93" s="13"/>
    </row>
    <row r="94" spans="4:17" x14ac:dyDescent="0.5">
      <c r="D94" s="250"/>
      <c r="E94" s="250"/>
      <c r="F94" s="250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0"/>
      <c r="E105" s="250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0"/>
      <c r="E112" s="250"/>
      <c r="F112" s="14"/>
      <c r="G112" s="28"/>
      <c r="I112" s="28"/>
    </row>
    <row r="113" spans="4:16" x14ac:dyDescent="0.5">
      <c r="D113" s="250"/>
      <c r="E113" s="250"/>
      <c r="F113" s="14"/>
      <c r="G113" s="28"/>
    </row>
    <row r="114" spans="4:16" x14ac:dyDescent="0.5">
      <c r="D114" s="250"/>
      <c r="E114" s="250"/>
      <c r="F114" s="14"/>
      <c r="G114" s="28"/>
    </row>
    <row r="115" spans="4:16" x14ac:dyDescent="0.5">
      <c r="D115" s="250"/>
      <c r="E115" s="250"/>
      <c r="F115" s="14"/>
      <c r="G115" s="14"/>
      <c r="I115" s="28"/>
    </row>
    <row r="116" spans="4:16" x14ac:dyDescent="0.5">
      <c r="D116" s="260"/>
      <c r="E116" s="260"/>
      <c r="F116" s="260"/>
      <c r="G116" s="260"/>
      <c r="H116" s="260"/>
      <c r="I116" s="260"/>
      <c r="J116" s="260"/>
      <c r="K116" s="260"/>
      <c r="L116" s="260"/>
      <c r="M116" s="260"/>
      <c r="N116" s="260"/>
      <c r="O116" s="260"/>
      <c r="P116" s="260"/>
    </row>
    <row r="117" spans="4:16" x14ac:dyDescent="0.5">
      <c r="E117" s="14"/>
      <c r="F117" s="28"/>
    </row>
    <row r="118" spans="4:16" x14ac:dyDescent="0.5">
      <c r="D118" s="250"/>
      <c r="E118" s="250"/>
    </row>
    <row r="119" spans="4:16" x14ac:dyDescent="0.5">
      <c r="D119" s="250"/>
      <c r="E119" s="250"/>
      <c r="F119" s="14"/>
      <c r="H119" s="28"/>
    </row>
    <row r="120" spans="4:16" x14ac:dyDescent="0.5">
      <c r="D120" s="250"/>
      <c r="E120" s="250"/>
      <c r="F120" s="250"/>
      <c r="G120" s="250"/>
      <c r="H120" s="250"/>
      <c r="I120" s="250"/>
      <c r="K120" s="250"/>
      <c r="L120" s="250"/>
      <c r="M120" s="250"/>
      <c r="N120" s="250"/>
      <c r="O120" s="250"/>
      <c r="P120" s="250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0"/>
      <c r="E133" s="250"/>
    </row>
    <row r="134" spans="2:11" x14ac:dyDescent="0.5">
      <c r="D134" s="250"/>
      <c r="E134" s="250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0"/>
      <c r="E145" s="250"/>
      <c r="F145" s="250"/>
      <c r="G145" s="250"/>
      <c r="H145" s="250"/>
      <c r="I145" s="250"/>
      <c r="K145" s="250"/>
      <c r="L145" s="250"/>
      <c r="M145" s="250"/>
      <c r="N145" s="250"/>
      <c r="O145" s="250"/>
      <c r="P145" s="250"/>
    </row>
    <row r="146" spans="2:16" x14ac:dyDescent="0.5">
      <c r="C146" s="37"/>
    </row>
    <row r="150" spans="2:16" x14ac:dyDescent="0.5">
      <c r="D150" s="250"/>
      <c r="E150" s="250"/>
      <c r="F150" s="250"/>
      <c r="G150" s="250"/>
      <c r="H150" s="250"/>
      <c r="I150" s="250"/>
      <c r="K150" s="250"/>
      <c r="L150" s="250"/>
      <c r="M150" s="250"/>
      <c r="N150" s="250"/>
      <c r="O150" s="250"/>
      <c r="P150" s="250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0"/>
      <c r="E157" s="250"/>
      <c r="F157" s="250"/>
      <c r="G157" s="250"/>
      <c r="H157" s="250"/>
      <c r="I157" s="250"/>
      <c r="K157" s="250"/>
      <c r="L157" s="250"/>
      <c r="M157" s="250"/>
      <c r="N157" s="250"/>
      <c r="O157" s="250"/>
      <c r="P157" s="250"/>
    </row>
    <row r="161" spans="5:6" x14ac:dyDescent="0.5">
      <c r="E161" s="14"/>
      <c r="F161" s="28"/>
    </row>
  </sheetData>
  <sheetProtection algorithmName="SHA-512" hashValue="ERTJCVVFN/DEXU5mIMEdCdZWijl4KGWBsPzaGEGDwZ/+SgoksY2gSl/gTfOt11ZaM9jWDiv8HtYcKcochYBXIg==" saltValue="l04DA7EOoOwrkH5q6Y+KjQ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E8" sqref="E8"/>
    </sheetView>
  </sheetViews>
  <sheetFormatPr defaultColWidth="9.1328125" defaultRowHeight="12.75" x14ac:dyDescent="0.35"/>
  <cols>
    <col min="4" max="4" width="10.796875" bestFit="1" customWidth="1"/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1" t="s">
        <v>231</v>
      </c>
      <c r="B3" s="261"/>
      <c r="C3" s="261"/>
      <c r="D3" s="261"/>
      <c r="F3" s="262" t="s">
        <v>232</v>
      </c>
      <c r="G3" s="263"/>
      <c r="H3" s="264"/>
    </row>
    <row r="4" spans="1:8" x14ac:dyDescent="0.35">
      <c r="A4" s="261" t="s">
        <v>226</v>
      </c>
      <c r="B4" s="261"/>
      <c r="C4" s="261"/>
      <c r="D4" s="73" t="s">
        <v>227</v>
      </c>
      <c r="F4" s="78" t="s">
        <v>226</v>
      </c>
      <c r="G4" s="76" t="s">
        <v>117</v>
      </c>
      <c r="H4" s="79" t="s">
        <v>123</v>
      </c>
    </row>
    <row r="5" spans="1:8" x14ac:dyDescent="0.35">
      <c r="A5" s="261" t="s">
        <v>274</v>
      </c>
      <c r="B5" s="261"/>
      <c r="C5" s="261"/>
      <c r="D5" s="73">
        <v>0</v>
      </c>
      <c r="F5" s="78" t="s">
        <v>272</v>
      </c>
      <c r="G5" s="77">
        <v>45</v>
      </c>
      <c r="H5" s="79">
        <v>2</v>
      </c>
    </row>
    <row r="6" spans="1:8" x14ac:dyDescent="0.35">
      <c r="A6" s="261"/>
      <c r="B6" s="261"/>
      <c r="C6" s="261"/>
      <c r="D6" s="74"/>
      <c r="F6" s="78" t="s">
        <v>273</v>
      </c>
      <c r="G6" s="77">
        <v>35</v>
      </c>
      <c r="H6" s="79">
        <v>3</v>
      </c>
    </row>
    <row r="7" spans="1:8" x14ac:dyDescent="0.35">
      <c r="A7" s="261"/>
      <c r="B7" s="261"/>
      <c r="C7" s="261"/>
      <c r="D7" s="74"/>
      <c r="F7" s="78" t="s">
        <v>282</v>
      </c>
      <c r="G7" s="77">
        <v>45</v>
      </c>
      <c r="H7" s="79">
        <v>2</v>
      </c>
    </row>
    <row r="8" spans="1:8" x14ac:dyDescent="0.35">
      <c r="A8" s="261"/>
      <c r="B8" s="261"/>
      <c r="C8" s="261"/>
      <c r="D8" s="74"/>
      <c r="F8" s="78"/>
      <c r="G8" s="77"/>
      <c r="H8" s="79"/>
    </row>
    <row r="9" spans="1:8" x14ac:dyDescent="0.35">
      <c r="A9" s="261"/>
      <c r="B9" s="261"/>
      <c r="C9" s="261"/>
      <c r="D9" s="73"/>
      <c r="F9" s="78"/>
      <c r="G9" s="77"/>
      <c r="H9" s="79"/>
    </row>
    <row r="10" spans="1:8" x14ac:dyDescent="0.35">
      <c r="A10" s="261"/>
      <c r="B10" s="261"/>
      <c r="C10" s="261"/>
      <c r="D10" s="74"/>
      <c r="F10" s="78"/>
      <c r="G10" s="77"/>
      <c r="H10" s="79"/>
    </row>
    <row r="11" spans="1:8" x14ac:dyDescent="0.35">
      <c r="A11" s="261"/>
      <c r="B11" s="261"/>
      <c r="C11" s="261"/>
      <c r="D11" s="73"/>
      <c r="F11" s="78"/>
      <c r="G11" s="77"/>
      <c r="H11" s="79"/>
    </row>
    <row r="12" spans="1:8" x14ac:dyDescent="0.35">
      <c r="A12" s="261"/>
      <c r="B12" s="261"/>
      <c r="C12" s="261"/>
      <c r="D12" s="73"/>
      <c r="F12" s="78"/>
      <c r="G12" s="77"/>
      <c r="H12" s="79"/>
    </row>
    <row r="13" spans="1:8" x14ac:dyDescent="0.35">
      <c r="A13" s="261"/>
      <c r="B13" s="261"/>
      <c r="C13" s="261"/>
      <c r="D13" s="73"/>
      <c r="F13" s="78"/>
      <c r="G13" s="77"/>
      <c r="H13" s="79"/>
    </row>
    <row r="14" spans="1:8" ht="13.15" thickBot="1" x14ac:dyDescent="0.4">
      <c r="A14" s="261"/>
      <c r="B14" s="261"/>
      <c r="C14" s="261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DvT+vA3gb9GEp6FVm1v+YfLhPLKo5uRlwk6846Y8s0nLp3usroHWlEgHrKnJc4QrbR9tXFk7P4S6K3L78IX81A==" saltValue="WQTdREpPUNQ1UI80n+aQtw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5" t="s">
        <v>26</v>
      </c>
      <c r="P1" s="265" t="s">
        <v>29</v>
      </c>
      <c r="Q1" s="265" t="s">
        <v>30</v>
      </c>
    </row>
    <row r="2" spans="1:21" x14ac:dyDescent="0.5">
      <c r="I2" s="26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5"/>
      <c r="Q2" s="26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IF(Econ!C130&gt;0,(VLOOKUP(Econ!D130,Land_Builds,2)*Econ!C130),0)</f>
        <v>0</v>
      </c>
      <c r="K3" s="1">
        <f>IF(Econ!E130&gt;0,(VLOOKUP(Econ!F130,Land_Builds,3)*Econ!E130),0)</f>
        <v>0</v>
      </c>
      <c r="L3" s="1">
        <f>IF(Econ!G130&gt;0,(VLOOKUP(Econ!H130,Land_Builds,4)*Econ!G130),0)</f>
        <v>0</v>
      </c>
      <c r="M3" s="1">
        <f>IF(Econ!I130&gt;0,(VLOOKUP(Econ!J130,Land_Builds,5)*Econ!I130),0)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IF(Econ!C131&gt;0,(VLOOKUP(Econ!D131,Land_Builds,2)*Econ!C131),0)</f>
        <v>0</v>
      </c>
      <c r="K4" s="1">
        <f>IF(Econ!E131&gt;0,(VLOOKUP(Econ!F131,Land_Builds,3)*Econ!E131),0)</f>
        <v>0</v>
      </c>
      <c r="L4" s="1">
        <f>IF(Econ!G131&gt;0,(VLOOKUP(Econ!H131,Land_Builds,4)*Econ!G131),0)</f>
        <v>0</v>
      </c>
      <c r="M4" s="1">
        <f>IF(Econ!I131&gt;0,(VLOOKUP(Econ!J131,Land_Builds,5)*Econ!I131),0)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182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IF(Econ!C132&gt;0,(VLOOKUP(Econ!D132,Land_Builds,2)*Econ!C132),0)</f>
        <v>0</v>
      </c>
      <c r="K5" s="1">
        <f>IF(Econ!E132&gt;0,(VLOOKUP(Econ!F132,Land_Builds,3)*Econ!E132),0)</f>
        <v>0</v>
      </c>
      <c r="L5" s="1">
        <f>IF(Econ!G132&gt;0,(VLOOKUP(Econ!H132,Land_Builds,4)*Econ!G132),0)</f>
        <v>0</v>
      </c>
      <c r="M5" s="1">
        <f>IF(Econ!I132&gt;0,(VLOOKUP(Econ!J132,Land_Builds,5)*Econ!I132),0)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183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IF(Econ!C133&gt;0,(VLOOKUP(Econ!D133,Land_Builds,2)*Econ!C133),0)</f>
        <v>0</v>
      </c>
      <c r="K6" s="1">
        <f>IF(Econ!E133&gt;0,(VLOOKUP(Econ!F133,Land_Builds,3)*Econ!E133),0)</f>
        <v>0</v>
      </c>
      <c r="L6" s="1">
        <f>IF(Econ!G133&gt;0,(VLOOKUP(Econ!H133,Land_Builds,4)*Econ!G133),0)</f>
        <v>0</v>
      </c>
      <c r="M6" s="1">
        <f>IF(Econ!I133&gt;0,(VLOOKUP(Econ!J133,Land_Builds,5)*Econ!I133),0)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184</v>
      </c>
      <c r="U6" s="2">
        <v>20</v>
      </c>
    </row>
    <row r="7" spans="1:21" x14ac:dyDescent="0.5">
      <c r="D7" s="1" t="s">
        <v>23</v>
      </c>
      <c r="T7" s="1" t="s">
        <v>185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6" t="s">
        <v>45</v>
      </c>
      <c r="K11" s="266"/>
      <c r="L11" s="266"/>
      <c r="M11" s="266"/>
      <c r="N11" s="26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46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69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69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0.99</v>
      </c>
      <c r="P24" s="4">
        <f>IF(Econ!F71&lt;1,1,((O24-1)/Econ!E71))</f>
        <v>-3.0303030303030328E-2</v>
      </c>
      <c r="Q24" s="4">
        <f>1-P24</f>
        <v>1.0303030303030303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0.66</v>
      </c>
      <c r="P25" s="4">
        <f>IF(Econ!F72&lt;1,1,((O25-1)/Econ!E72))</f>
        <v>-1.0303030303030301</v>
      </c>
      <c r="Q25" s="4">
        <f t="shared" ref="Q25:Q28" si="4">1-P25</f>
        <v>2.0303030303030303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168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169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170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171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172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173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VLOOKUP(Econ!E148,ShipQlookup,2)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VLOOKUP(Econ!E149,ShipQlookup,2)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VLOOKUP(Econ!E149,ShipQlookup,2)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VLOOKUP(Econ!E150,ShipQlookup,2)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VLOOKUP(Econ!E151,ShipQlookup,2)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VLOOKUP(Econ!E152,ShipQlookup,2)</f>
        <v>#N/A</v>
      </c>
    </row>
    <row r="46" spans="2:14" x14ac:dyDescent="0.5">
      <c r="D46" s="1">
        <v>7</v>
      </c>
      <c r="E46" s="1" t="e">
        <f>VLOOKUP(Econ!E153,ShipQlookup,2)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2020-11-03T21:38:01Z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