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 s="1"/>
  <c r="L16"/>
  <c r="M15"/>
  <c r="P15" s="1"/>
  <c r="L15"/>
  <c r="M14"/>
  <c r="O14"/>
  <c r="L14"/>
  <c r="M13"/>
  <c r="P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E16" i="17"/>
  <c r="F16"/>
  <c r="E17"/>
  <c r="F17"/>
  <c r="E18"/>
  <c r="F18"/>
  <c r="E19"/>
  <c r="F19"/>
  <c r="E20"/>
  <c r="F20"/>
  <c r="D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 s="1"/>
  <c r="S12"/>
  <c r="L18"/>
  <c r="M18"/>
  <c r="N18" s="1"/>
  <c r="S13"/>
  <c r="L19"/>
  <c r="M19"/>
  <c r="N19" s="1"/>
  <c r="S14"/>
  <c r="L20"/>
  <c r="M20"/>
  <c r="N20" s="1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33"/>
  <c r="T34"/>
  <c r="T35"/>
  <c r="T36"/>
  <c r="T47"/>
  <c r="T48"/>
  <c r="E29"/>
  <c r="F29"/>
  <c r="G29"/>
  <c r="T49"/>
  <c r="E30"/>
  <c r="F30"/>
  <c r="G30"/>
  <c r="T50"/>
  <c r="E31"/>
  <c r="F31"/>
  <c r="G31"/>
  <c r="E32"/>
  <c r="F32"/>
  <c r="G32"/>
  <c r="D33"/>
  <c r="E36"/>
  <c r="F36"/>
  <c r="G36"/>
  <c r="E37"/>
  <c r="F37"/>
  <c r="G37"/>
  <c r="E38"/>
  <c r="F38"/>
  <c r="G38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19" i="16"/>
  <c r="P17"/>
  <c r="N12"/>
  <c r="P14"/>
  <c r="P16"/>
  <c r="F33" i="14"/>
  <c r="H19"/>
  <c r="E62" s="1"/>
  <c r="E63" s="1"/>
  <c r="H18" i="13"/>
  <c r="F11" i="17"/>
  <c r="O19" i="16"/>
  <c r="O17"/>
  <c r="O13"/>
  <c r="N13"/>
  <c r="O15"/>
  <c r="N15"/>
  <c r="N16"/>
  <c r="N14"/>
  <c r="H31" i="14"/>
  <c r="H30"/>
  <c r="H32"/>
  <c r="L33" i="16"/>
  <c r="L36"/>
  <c r="L34"/>
  <c r="L37"/>
  <c r="L35"/>
  <c r="G41" i="14" l="1"/>
  <c r="D9" i="10"/>
  <c r="G33" i="14"/>
  <c r="E33"/>
  <c r="O20" i="16"/>
  <c r="O18"/>
  <c r="P18"/>
  <c r="P20"/>
  <c r="T51" i="14"/>
  <c r="F41"/>
  <c r="I10" i="13" s="1"/>
  <c r="T26" i="14"/>
  <c r="P12" i="16"/>
  <c r="F21" i="17"/>
  <c r="D18" i="10" s="1"/>
  <c r="P11" i="16"/>
  <c r="E21" i="17"/>
  <c r="E41" i="14"/>
  <c r="D21" i="12"/>
  <c r="I7" i="10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6" i="10" l="1"/>
  <c r="E10" i="13"/>
  <c r="J10"/>
  <c r="L51" i="16"/>
  <c r="D19" i="10" s="1"/>
  <c r="I9"/>
  <c r="N21" i="16"/>
  <c r="M51" s="1"/>
  <c r="E9" i="13" s="1"/>
  <c r="E18" s="1"/>
  <c r="D13" i="10"/>
  <c r="P21" i="16"/>
  <c r="O51" s="1"/>
  <c r="J9" i="13" s="1"/>
  <c r="D17" i="10"/>
  <c r="O21" i="16"/>
  <c r="N51" s="1"/>
  <c r="I9" i="13" s="1"/>
  <c r="I18" s="1"/>
  <c r="D14" i="10"/>
  <c r="F62" i="14"/>
  <c r="F63" s="1"/>
  <c r="D15" i="10"/>
  <c r="J18" i="13" l="1"/>
  <c r="C21" s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<sst xmlns="http://schemas.openxmlformats.org/spreadsheetml/2006/main" count="991" uniqueCount="276">
  <si>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</si>
  <si>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</si>
  <si>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</si>
  <si>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</si>
  <si>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</si>
  <si>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</si>
  <si>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</si>
  <si>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</si>
  <si>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</si>
  <si>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</si>
  <si>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</si>
  <si>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</si>
  <si>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</si>
  <si>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</si>
  <si>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</si>
  <si>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</si>
  <si>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</si>
  <si>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</si>
  <si>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</si>
  <si>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</si>
  <si>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</si>
  <si>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</si>
  <si>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</si>
  <si>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</si>
  <si>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</si>
  <si>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</si>
  <si>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</si>
  <si>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</si>
  <si>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</si>
  <si>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</si>
  <si>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</si>
  <si>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</si>
  <si>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</si>
  <si>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</si>
  <si>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</si>
  <si>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</si>
  <si>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</si>
  <si>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</si>
  <si>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</si>
  <si>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</si>
  <si>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</si>
  <si>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</si>
  <si>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</si>
  <si>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</si>
  <si>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</si>
  <si>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</si>
  <si>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</si>
  <si>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</si>
  <si>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</si>
  <si>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</si>
  <si>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</si>
  <si>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</si>
  <si>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</si>
  <si>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</si>
  <si>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</si>
  <si>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</si>
  <si>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</si>
  <si>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</si>
  <si>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</si>
  <si>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</si>
  <si>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</si>
  <si>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</si>
  <si>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</si>
  <si>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</si>
  <si>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</si>
  <si>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</si>
  <si>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</si>
  <si>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</si>
  <si>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</si>
  <si>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</si>
  <si>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</si>
  <si>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</si>
  <si>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</si>
  <si>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</si>
  <si>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</si>
  <si>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</si>
  <si>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</si>
  <si>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</si>
  <si>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</si>
  <si>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</si>
  <si>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</si>
  <si>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</si>
  <si>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</si>
  <si>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</si>
  <si>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</si>
  <si>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</si>
  <si>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</si>
  <si>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</si>
  <si>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</si>
  <si>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</si>
  <si>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</si>
  <si>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</si>
  <si>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</si>
  <si>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</si>
  <si>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</si>
  <si>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</si>
  <si>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</si>
  <si>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</si>
  <si>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</si>
  <si>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</si>
  <si>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</si>
  <si>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</si>
  <si>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</si>
  <si>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</si>
  <si>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</si>
  <si>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</si>
  <si>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</si>
  <si>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</si>
  <si>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</si>
  <si>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</si>
  <si>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</si>
  <si>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</si>
  <si>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</si>
  <si>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</si>
  <si>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</si>
  <si>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</si>
  <si>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</si>
  <si>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</si>
  <si>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</si>
  <si>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</si>
  <si>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</si>
  <si>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</si>
  <si>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</si>
  <si>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</si>
  <si>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</si>
  <si>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</si>
  <si>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</si>
  <si>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</si>
  <si>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</si>
  <si>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</si>
  <si>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</si>
  <si>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</si>
  <si>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</si>
  <si>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</si>
  <si>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</si>
  <si>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</si>
  <si>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</si>
  <si>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</si>
  <si>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</si>
  <si>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</si>
  <si>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</si>
  <si>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</si>
  <si>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</si>
  <si>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</si>
  <si>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</si>
  <si>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</si>
  <si>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</si>
  <si>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</si>
  <si>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</si>
  <si>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</si>
  <si>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</si>
  <si>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</si>
  <si>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</si>
  <si>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</si>
  <si>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</si>
  <si>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</si>
  <si>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</si>
  <si>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</si>
  <si>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</si>
  <si>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</si>
  <si>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</si>
  <si>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</si>
  <si>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</si>
  <si>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</si>
  <si>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</si>
  <si>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</si>
  <si>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</si>
  <si>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</si>
  <si>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</si>
  <si>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</si>
  <si>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</si>
  <si>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</si>
  <si>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</si>
  <si>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</si>
  <si>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</si>
  <si>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</si>
  <si>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</si>
  <si>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</si>
  <si>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</si>
  <si>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</si>
  <si>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</si>
  <si>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</si>
  <si>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</si>
  <si>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</si>
  <si>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</si>
  <si>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</si>
  <si>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</si>
  <si>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</si>
  <si>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</si>
  <si>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</si>
  <si>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</si>
  <si>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</si>
  <si>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</si>
  <si>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</si>
  <si>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</si>
  <si>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</si>
  <si>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</si>
  <si>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</si>
  <si>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</si>
  <si>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</si>
  <si>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</si>
  <si>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</si>
  <si>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</si>
  <si>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</si>
  <si>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</si>
  <si>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</si>
  <si>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</si>
  <si>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</si>
  <si>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</si>
  <si>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</si>
  <si>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</si>
  <si>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</si>
  <si>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</si>
  <si>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</si>
  <si>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</si>
  <si>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</si>
  <si>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</si>
  <si>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</si>
  <si>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</si>
  <si>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</si>
  <si>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</si>
  <si>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</si>
  <si>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</si>
  <si>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</si>
  <si>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</si>
  <si>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</si>
  <si>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</si>
  <si>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</si>
  <si>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</si>
  <si>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</si>
  <si>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</si>
  <si>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</si>
  <si>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</si>
  <si>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</si>
  <si>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</si>
  <si>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</si>
  <si>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</si>
  <si>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</si>
  <si>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</si>
  <si>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</si>
  <si>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</si>
  <si>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</si>
  <si>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</si>
  <si>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</si>
  <si>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</si>
  <si>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</si>
  <si>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</si>
  <si>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</si>
  <si>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</si>
  <si>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</si>
  <si>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</si>
  <si>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</si>
  <si>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</si>
  <si>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</si>
  <si>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</si>
  <si>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</si>
  <si>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</si>
  <si>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</si>
  <si>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</si>
  <si>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</si>
  <si>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</si>
  <si>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</si>
  <si>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</si>
  <si>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</si>
  <si>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</si>
  <si>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</si>
  <si>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</si>
  <si>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</si>
  <si>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</si>
  <si>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</si>
  <si>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</si>
  <si>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Ferrocaril / Nacional</t>
  </si>
  <si>
    <t>Carbón / Nacional</t>
  </si>
  <si>
    <t>5/5</t>
  </si>
  <si>
    <t>1903/1906</t>
  </si>
  <si>
    <t>1907/1911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</si>
</sst>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2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0" borderId="99" xfId="0" applyBorder="1" applyAlignment="1" applyProtection="1">
      <protection hidden="1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0" fillId="2" borderId="99" xfId="0" applyFill="1" applyBorder="1" applyAlignment="1" applyProtection="1">
      <protection locked="0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49" fontId="0" fillId="0" borderId="32" xfId="0" applyNumberForma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69683999.830912694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60428999.830912694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8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((VLOOKUP(J4,N4:R10,5,0)*D4/1000)*1.02)+D5+D8</f>
        <v>896.1073276716678</v>
      </c>
      <c r="E6" s="53"/>
      <c r="G6" s="48"/>
      <c r="H6" s="12" t="s">
        <v>20</v>
      </c>
      <c r="I6" s="13">
        <f>Importación!D21</f>
        <v>234</v>
      </c>
      <c r="J6" s="49"/>
      <c r="K6" s="12" t="s">
        <v>29</v>
      </c>
      <c r="L6" s="13">
        <f>D9+I7</f>
        <v>1300.1073276716679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356</v>
      </c>
      <c r="J7" s="49"/>
      <c r="K7" s="16" t="s">
        <v>30</v>
      </c>
      <c r="L7" s="17">
        <f ca="1">D22+I6</f>
        <v>579.04999999999995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944.1073276716678</v>
      </c>
      <c r="E9" s="53"/>
      <c r="G9" s="48"/>
      <c r="H9" s="24" t="s">
        <v>22</v>
      </c>
      <c r="I9" s="25">
        <f>I7-I6</f>
        <v>122</v>
      </c>
      <c r="J9" s="49"/>
      <c r="K9" s="24" t="s">
        <v>28</v>
      </c>
      <c r="L9" s="25">
        <f ca="1">L6-L7</f>
        <v>721.05732767166796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99.8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58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105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345.05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15" sqref="S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>
        <v>2</v>
      </c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>
        <v>2</v>
      </c>
      <c r="E13" s="3"/>
      <c r="F13" s="6"/>
      <c r="G13" s="2">
        <v>4</v>
      </c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>
        <v>2</v>
      </c>
      <c r="H14" s="3"/>
      <c r="I14" s="259"/>
      <c r="J14" s="2"/>
      <c r="K14" s="3"/>
      <c r="L14" s="6"/>
      <c r="M14" s="2"/>
      <c r="N14" s="3"/>
      <c r="O14" s="6"/>
      <c r="P14" s="2">
        <v>2</v>
      </c>
      <c r="Q14" s="3"/>
      <c r="R14" s="6"/>
      <c r="S14" s="2">
        <v>9</v>
      </c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2</v>
      </c>
      <c r="E18" s="8">
        <f>SUM(D5:D14)*E2+(D16*E2)*4/5+(D15*E2)*6/5+SUM(E5:E16)</f>
        <v>20</v>
      </c>
      <c r="F18" s="6"/>
      <c r="G18" s="10">
        <f>SUM(G5:G16)</f>
        <v>6</v>
      </c>
      <c r="H18" s="8">
        <f>SUM(G5:G14)*H2+(G16*H2)*4/5+(G15*H2)*6/5+SUM(H5:H16)</f>
        <v>60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2</v>
      </c>
      <c r="Q18" s="8">
        <f>SUM(P5:P14)*Q2+(P16*Q2)*4/5+(P15*Q2)*6/5+SUM(Q5:Q16)</f>
        <v>20</v>
      </c>
      <c r="R18" s="6"/>
      <c r="S18" s="10">
        <f>SUM(S5:S16)</f>
        <v>14</v>
      </c>
      <c r="T18" s="8">
        <f>SUM(S5:S14)*T2+(S16*T2)*4/5+(S15*T2)*6/5+SUM(T5:T16)</f>
        <v>134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234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W5" sqref="W5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>
        <v>6</v>
      </c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>
        <v>7</v>
      </c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>
        <v>3</v>
      </c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18</v>
      </c>
      <c r="W18" s="135">
        <f>SUM(V5:V14)*W2+(V16*W2)*6/5+(V15*W2)*4/5+SUM(W5:W16)</f>
        <v>356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356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E12" sqref="E12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4.3631000000000002</v>
      </c>
      <c r="G5" s="229">
        <v>2.75</v>
      </c>
      <c r="H5" s="229">
        <v>3</v>
      </c>
      <c r="I5" s="229">
        <v>12.375</v>
      </c>
      <c r="J5" s="229">
        <v>13.375</v>
      </c>
      <c r="K5" s="229">
        <v>18.826449</v>
      </c>
      <c r="L5" s="230">
        <v>2.5579230000000002</v>
      </c>
      <c r="M5" s="53"/>
      <c r="N5" s="226"/>
    </row>
    <row r="6" spans="1:14">
      <c r="A6" s="226"/>
      <c r="B6" s="48"/>
      <c r="C6" s="55" t="s">
        <v>51</v>
      </c>
      <c r="D6" s="49"/>
      <c r="E6" s="231">
        <v>41</v>
      </c>
      <c r="F6" s="232">
        <v>36</v>
      </c>
      <c r="G6" s="232">
        <v>6</v>
      </c>
      <c r="H6" s="232">
        <v>2</v>
      </c>
      <c r="I6" s="232">
        <v>16</v>
      </c>
      <c r="J6" s="232">
        <v>16</v>
      </c>
      <c r="K6" s="232">
        <v>5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2</v>
      </c>
      <c r="G7" s="232">
        <f>Importación!G18</f>
        <v>6</v>
      </c>
      <c r="H7" s="232">
        <f>Importación!J18</f>
        <v>0</v>
      </c>
      <c r="I7" s="232">
        <f>Importación!M18</f>
        <v>0</v>
      </c>
      <c r="J7" s="232">
        <f>Importación!P18</f>
        <v>2</v>
      </c>
      <c r="K7" s="232">
        <f>Importación!S18</f>
        <v>14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18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34.841999915456348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13.936799966182539</v>
      </c>
      <c r="L9" s="233">
        <f>VLOOKUP(Sumario!J4,Sumario!N4:R10,2,0)*Sumario!D3/1000</f>
        <v>15.485333295758377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41</v>
      </c>
      <c r="F18" s="250">
        <f>ROUND(F5+F6+F7-F8-F9-F10-F11-F12-F13-F15-F16,6)</f>
        <v>7.5210999999999997</v>
      </c>
      <c r="G18" s="250">
        <f>ROUND(G5+G6+G7-G8-G9-G10-G12-G13-G15-G16,6)</f>
        <v>14.75</v>
      </c>
      <c r="H18" s="250">
        <f>ROUND(H5+H6+H7-H8-H11-H14-H16,6)</f>
        <v>5</v>
      </c>
      <c r="I18" s="250">
        <f>ROUND(I5+I6+I7-I8-I9-I10-I11-I12-I13-I15-I16,6)</f>
        <v>28.375</v>
      </c>
      <c r="J18" s="250">
        <f>ROUND(J5+J6+J7-J8-J9-J10-J12-J13-J15-J16,6)</f>
        <v>31.375</v>
      </c>
      <c r="K18" s="250">
        <f>ROUND(K5+K6+K7-K8-K9-K10-K12-K13+K15-K16,6)</f>
        <v>23.889648999999999</v>
      </c>
      <c r="L18" s="251">
        <f>ROUND(L5+L6+L7-L8-L9-L10+L12+L13-L16,6)</f>
        <v>-30.927409999999998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6" sqref="M6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85" t="s">
        <v>126</v>
      </c>
      <c r="Y2" s="285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79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0" t="s">
        <v>78</v>
      </c>
      <c r="D5" s="281"/>
      <c r="E5" s="281"/>
      <c r="F5" s="281"/>
      <c r="G5" s="281"/>
      <c r="H5" s="282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B</v>
      </c>
      <c r="G7" s="75" t="s">
        <v>121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83" t="s">
        <v>86</v>
      </c>
      <c r="D12" s="278"/>
      <c r="E12" s="278"/>
      <c r="F12" s="278"/>
      <c r="G12" s="278"/>
      <c r="H12" s="284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79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0" t="s">
        <v>78</v>
      </c>
      <c r="D27" s="281"/>
      <c r="E27" s="281"/>
      <c r="F27" s="281"/>
      <c r="G27" s="281"/>
      <c r="H27" s="282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83" t="s">
        <v>86</v>
      </c>
      <c r="D34" s="278"/>
      <c r="E34" s="278"/>
      <c r="F34" s="278"/>
      <c r="G34" s="278"/>
      <c r="H34" s="284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2</v>
      </c>
      <c r="O35" s="99">
        <v>7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>
        <v>2</v>
      </c>
      <c r="O36" s="99">
        <v>7</v>
      </c>
      <c r="P36" s="99"/>
      <c r="Q36" s="99"/>
      <c r="R36" s="99" t="s">
        <v>199</v>
      </c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77" t="s">
        <v>127</v>
      </c>
      <c r="E47" s="277"/>
      <c r="F47" s="277"/>
      <c r="G47" s="277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301" t="s">
        <v>273</v>
      </c>
      <c r="F50" s="74" t="s">
        <v>274</v>
      </c>
      <c r="G50" s="76" t="s">
        <v>275</v>
      </c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77" t="s">
        <v>133</v>
      </c>
      <c r="E58" s="277"/>
      <c r="F58" s="277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X2:Y2"/>
    <mergeCell ref="M28:R28"/>
    <mergeCell ref="M3:R3"/>
    <mergeCell ref="C12:H12"/>
    <mergeCell ref="C5:H5"/>
    <mergeCell ref="C3:H3"/>
    <mergeCell ref="D47:G47"/>
    <mergeCell ref="D58:F58"/>
    <mergeCell ref="C25:H25"/>
    <mergeCell ref="C27:H27"/>
    <mergeCell ref="C34:H34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14" sqref="D14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121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137</v>
      </c>
      <c r="E8" s="74" t="s">
        <v>3</v>
      </c>
      <c r="F8" s="76">
        <f>IF(D8="SI",Militar!D9,0)</f>
        <v>8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8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257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137</v>
      </c>
      <c r="E26" s="74" t="s">
        <v>122</v>
      </c>
      <c r="F26" s="76">
        <f t="shared" ref="F26:F33" si="0">IF(D26="SI",HLOOKUP(E26,$M$6:$Q$10,2,0),IF(D26="Mantener",5,0))</f>
        <v>50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3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120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121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50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9" t="s">
        <v>155</v>
      </c>
      <c r="K5" s="290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91" t="s">
        <v>169</v>
      </c>
      <c r="K6" s="292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91" t="s">
        <v>169</v>
      </c>
      <c r="K7" s="292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91" t="s">
        <v>169</v>
      </c>
      <c r="K8" s="292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91" t="s">
        <v>169</v>
      </c>
      <c r="K9" s="292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91" t="s">
        <v>169</v>
      </c>
      <c r="K10" s="292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91" t="s">
        <v>169</v>
      </c>
      <c r="K11" s="292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91" t="s">
        <v>169</v>
      </c>
      <c r="K12" s="292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91" t="s">
        <v>169</v>
      </c>
      <c r="K13" s="292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91" t="s">
        <v>169</v>
      </c>
      <c r="K14" s="292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91" t="s">
        <v>169</v>
      </c>
      <c r="K15" s="292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91" t="s">
        <v>169</v>
      </c>
      <c r="K16" s="292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91" t="s">
        <v>169</v>
      </c>
      <c r="K17" s="292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91" t="s">
        <v>169</v>
      </c>
      <c r="K18" s="292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91" t="s">
        <v>169</v>
      </c>
      <c r="K19" s="292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3" t="s">
        <v>169</v>
      </c>
      <c r="K20" s="292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9" t="s">
        <v>155</v>
      </c>
      <c r="K31" s="290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86" t="s">
        <v>271</v>
      </c>
      <c r="K32" s="287"/>
      <c r="L32" s="117">
        <f>VLOOKUP(J32,$S$5:$U$49,2,0)</f>
        <v>55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86" t="s">
        <v>272</v>
      </c>
      <c r="K33" s="287"/>
      <c r="L33" s="117">
        <f t="shared" ref="L33:L41" si="6">VLOOKUP(J33,$S$5:$U$49,2,0)</f>
        <v>50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86" t="s">
        <v>169</v>
      </c>
      <c r="K34" s="287"/>
      <c r="L34" s="117">
        <f t="shared" si="6"/>
        <v>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86" t="s">
        <v>169</v>
      </c>
      <c r="K35" s="287"/>
      <c r="L35" s="117">
        <f t="shared" si="6"/>
        <v>0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86" t="s">
        <v>169</v>
      </c>
      <c r="K36" s="287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86" t="s">
        <v>169</v>
      </c>
      <c r="K37" s="287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86" t="s">
        <v>169</v>
      </c>
      <c r="K38" s="287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86" t="s">
        <v>169</v>
      </c>
      <c r="K39" s="287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86" t="s">
        <v>169</v>
      </c>
      <c r="K40" s="287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88" t="s">
        <v>169</v>
      </c>
      <c r="K41" s="287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65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105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65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105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9:K9"/>
    <mergeCell ref="J10:K10"/>
    <mergeCell ref="J11:K11"/>
    <mergeCell ref="C3:F3"/>
    <mergeCell ref="K3:O3"/>
    <mergeCell ref="J5:K5"/>
    <mergeCell ref="J6:K6"/>
    <mergeCell ref="J7:K7"/>
    <mergeCell ref="J8:K8"/>
    <mergeCell ref="J12:K12"/>
    <mergeCell ref="J13:K13"/>
    <mergeCell ref="J14:K14"/>
    <mergeCell ref="J15:K15"/>
    <mergeCell ref="J16:K16"/>
    <mergeCell ref="K29:O29"/>
    <mergeCell ref="J31:K31"/>
    <mergeCell ref="J34:K34"/>
    <mergeCell ref="J35:K35"/>
    <mergeCell ref="J17:K17"/>
    <mergeCell ref="J18:K18"/>
    <mergeCell ref="J19:K19"/>
    <mergeCell ref="J20:K20"/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12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22</v>
      </c>
      <c r="E10" s="151">
        <v>0</v>
      </c>
      <c r="F10" s="152">
        <f>D10</f>
        <v>22</v>
      </c>
      <c r="G10" s="166"/>
    </row>
    <row r="11" spans="2:7" ht="13.5" thickBot="1">
      <c r="B11" s="165"/>
      <c r="C11" s="153" t="s">
        <v>1</v>
      </c>
      <c r="D11" s="154">
        <f>SUM(D6:D10)</f>
        <v>48</v>
      </c>
      <c r="E11" s="155">
        <f>SUM(E6:E10)</f>
        <v>49000</v>
      </c>
      <c r="F11" s="156">
        <f>SUM(F6:F10)</f>
        <v>64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30" sqref="C30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2012-11-25T13:17:59Z</dcterms:modified>
</cp:coreProperties>
</file>