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661"/>
  </bookViews>
  <sheets>
    <sheet name="Sumario" sheetId="10" r:id="rId1"/>
    <sheet name="Importación" sheetId="11" r:id="rId2"/>
    <sheet name="Exportación" sheetId="12" r:id="rId3"/>
    <sheet name="Industria" sheetId="13" r:id="rId4"/>
    <sheet name="Militar" sheetId="14" r:id="rId5"/>
    <sheet name="Investigación" sheetId="15" r:id="rId6"/>
    <sheet name="Inversiones" sheetId="16" r:id="rId7"/>
    <sheet name="Instalaciones Militares" sheetId="17" r:id="rId8"/>
    <sheet name="Transporte" sheetId="18" r:id="rId9"/>
  </sheets>
  <definedNames>
    <definedName name="_xlnm._FilterDatabase" localSheetId="8" hidden="1">Transporte!$E$5:$E$6</definedName>
  </definedNames>
  <calcPr calcId="125725"/>
</workbook>
</file>

<file path=xl/calcChain.xml><?xml version="1.0" encoding="utf-8"?>
<calcChain xmlns="http://schemas.openxmlformats.org/spreadsheetml/2006/main">
  <c r="S18" i="11"/>
  <c r="U6" i="1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6"/>
  <c r="F24" i="15"/>
  <c r="K18" i="11"/>
  <c r="J18"/>
  <c r="H7" i="13"/>
  <c r="M18" i="11"/>
  <c r="N18"/>
  <c r="K18" i="12"/>
  <c r="J18"/>
  <c r="H8" i="13"/>
  <c r="H14"/>
  <c r="L14" s="1"/>
  <c r="D18" i="11"/>
  <c r="F7" i="13" s="1"/>
  <c r="W18" i="12"/>
  <c r="T18"/>
  <c r="Q18"/>
  <c r="N18"/>
  <c r="H18"/>
  <c r="E18"/>
  <c r="W18" i="11"/>
  <c r="T18"/>
  <c r="Q18"/>
  <c r="H18"/>
  <c r="E18"/>
  <c r="Z18"/>
  <c r="L9" i="13"/>
  <c r="K9"/>
  <c r="F26" i="15"/>
  <c r="F27"/>
  <c r="F28"/>
  <c r="F29"/>
  <c r="F30"/>
  <c r="F31"/>
  <c r="F32"/>
  <c r="F33"/>
  <c r="F25"/>
  <c r="F9" i="13"/>
  <c r="M16" i="16"/>
  <c r="O16" s="1"/>
  <c r="L16"/>
  <c r="M15"/>
  <c r="P15" s="1"/>
  <c r="L15"/>
  <c r="M14"/>
  <c r="O14"/>
  <c r="L14"/>
  <c r="M13"/>
  <c r="P13" s="1"/>
  <c r="L13"/>
  <c r="M12"/>
  <c r="O12" s="1"/>
  <c r="L12"/>
  <c r="V15" i="14"/>
  <c r="V16"/>
  <c r="V17"/>
  <c r="V18"/>
  <c r="V19"/>
  <c r="V20"/>
  <c r="V21"/>
  <c r="V22"/>
  <c r="V23"/>
  <c r="V24"/>
  <c r="V25"/>
  <c r="T41"/>
  <c r="T40"/>
  <c r="T39"/>
  <c r="T38"/>
  <c r="T37"/>
  <c r="T46"/>
  <c r="T45"/>
  <c r="T44"/>
  <c r="T43"/>
  <c r="T42"/>
  <c r="T23"/>
  <c r="Q23"/>
  <c r="T22"/>
  <c r="Q22"/>
  <c r="T24"/>
  <c r="Q24"/>
  <c r="T21"/>
  <c r="Q21"/>
  <c r="T20"/>
  <c r="Q20"/>
  <c r="T19"/>
  <c r="Q19"/>
  <c r="T18"/>
  <c r="Q18"/>
  <c r="T17"/>
  <c r="Q17"/>
  <c r="T16"/>
  <c r="Q16"/>
  <c r="T15"/>
  <c r="Q15"/>
  <c r="Y18" i="11"/>
  <c r="AB18"/>
  <c r="AC18"/>
  <c r="F7" i="17"/>
  <c r="F6"/>
  <c r="T7" i="14"/>
  <c r="T8"/>
  <c r="T9"/>
  <c r="T10"/>
  <c r="T11"/>
  <c r="T12"/>
  <c r="T13"/>
  <c r="T14"/>
  <c r="T25"/>
  <c r="A6" i="18"/>
  <c r="H6" s="1"/>
  <c r="A7"/>
  <c r="H7"/>
  <c r="M7"/>
  <c r="A8"/>
  <c r="H8"/>
  <c r="S8"/>
  <c r="S8" a="1"/>
  <c r="A9"/>
  <c r="H9"/>
  <c r="S9"/>
  <c r="T9"/>
  <c r="T9" a="1"/>
  <c r="A10"/>
  <c r="H10"/>
  <c r="S10"/>
  <c r="T10"/>
  <c r="U10"/>
  <c r="U10" a="1"/>
  <c r="A11"/>
  <c r="H11"/>
  <c r="S11"/>
  <c r="T11"/>
  <c r="U11"/>
  <c r="V11"/>
  <c r="V11" a="1"/>
  <c r="A12"/>
  <c r="H12"/>
  <c r="S12"/>
  <c r="T12"/>
  <c r="U12"/>
  <c r="V12"/>
  <c r="W12"/>
  <c r="W12" a="1"/>
  <c r="A13"/>
  <c r="H13"/>
  <c r="S13"/>
  <c r="T13"/>
  <c r="U13"/>
  <c r="V13"/>
  <c r="W13"/>
  <c r="X13"/>
  <c r="X13" a="1"/>
  <c r="A14"/>
  <c r="H14"/>
  <c r="S14"/>
  <c r="T14"/>
  <c r="U14"/>
  <c r="V14"/>
  <c r="W14"/>
  <c r="X14"/>
  <c r="Y14"/>
  <c r="Y14" a="1"/>
  <c r="A15"/>
  <c r="H15"/>
  <c r="S15"/>
  <c r="T15"/>
  <c r="U15"/>
  <c r="V15"/>
  <c r="W15"/>
  <c r="X15"/>
  <c r="Y15"/>
  <c r="Z15"/>
  <c r="Z15" a="1"/>
  <c r="A16"/>
  <c r="H16"/>
  <c r="S16"/>
  <c r="T16"/>
  <c r="U16"/>
  <c r="V16"/>
  <c r="W16"/>
  <c r="X16"/>
  <c r="Y16"/>
  <c r="Z16"/>
  <c r="AA16"/>
  <c r="AA16" a="1"/>
  <c r="A17"/>
  <c r="H17"/>
  <c r="S17"/>
  <c r="T17"/>
  <c r="U17"/>
  <c r="V17"/>
  <c r="W17"/>
  <c r="X17"/>
  <c r="Y17"/>
  <c r="Z17"/>
  <c r="AA17"/>
  <c r="AB17"/>
  <c r="AB17" a="1"/>
  <c r="A18"/>
  <c r="H18"/>
  <c r="S18"/>
  <c r="T18"/>
  <c r="U18"/>
  <c r="V18"/>
  <c r="W18"/>
  <c r="X18"/>
  <c r="Y18"/>
  <c r="Z18"/>
  <c r="AA18"/>
  <c r="AB18"/>
  <c r="AC18"/>
  <c r="AC18" a="1"/>
  <c r="A19"/>
  <c r="H19"/>
  <c r="S19"/>
  <c r="T19"/>
  <c r="U19"/>
  <c r="V19"/>
  <c r="W19"/>
  <c r="X19"/>
  <c r="Y19"/>
  <c r="Z19"/>
  <c r="AA19"/>
  <c r="AB19"/>
  <c r="AC19"/>
  <c r="AD19"/>
  <c r="AD19" a="1"/>
  <c r="A20"/>
  <c r="H20"/>
  <c r="S20"/>
  <c r="T20"/>
  <c r="U20"/>
  <c r="V20"/>
  <c r="W20"/>
  <c r="X20"/>
  <c r="Y20"/>
  <c r="Z20"/>
  <c r="AA20"/>
  <c r="AB20"/>
  <c r="AC20"/>
  <c r="AD20"/>
  <c r="AE20"/>
  <c r="AE20" a="1"/>
  <c r="A21"/>
  <c r="H21"/>
  <c r="S21"/>
  <c r="T21"/>
  <c r="U21"/>
  <c r="V21"/>
  <c r="W21"/>
  <c r="X21"/>
  <c r="Y21"/>
  <c r="Z21"/>
  <c r="AA21"/>
  <c r="AB21"/>
  <c r="AC21"/>
  <c r="AD21"/>
  <c r="AE21"/>
  <c r="AF21"/>
  <c r="AF21" a="1"/>
  <c r="A22"/>
  <c r="H22"/>
  <c r="S22"/>
  <c r="T22"/>
  <c r="U22"/>
  <c r="V22"/>
  <c r="W22"/>
  <c r="X22"/>
  <c r="Y22"/>
  <c r="Z22"/>
  <c r="AA22"/>
  <c r="AB22"/>
  <c r="AC22"/>
  <c r="AD22"/>
  <c r="AE22"/>
  <c r="AF22"/>
  <c r="AG22"/>
  <c r="AG22" a="1"/>
  <c r="A23"/>
  <c r="H23"/>
  <c r="S23"/>
  <c r="T23"/>
  <c r="U23"/>
  <c r="V23"/>
  <c r="W23"/>
  <c r="X23"/>
  <c r="Y23"/>
  <c r="Z23"/>
  <c r="AA23"/>
  <c r="AB23"/>
  <c r="AC23"/>
  <c r="AD23"/>
  <c r="AE23"/>
  <c r="AF23"/>
  <c r="AG23"/>
  <c r="AH23"/>
  <c r="AH23" a="1"/>
  <c r="A24"/>
  <c r="H24"/>
  <c r="S24"/>
  <c r="T24"/>
  <c r="U24"/>
  <c r="V24"/>
  <c r="W24"/>
  <c r="X24"/>
  <c r="Y24"/>
  <c r="Z24"/>
  <c r="AA24"/>
  <c r="AB24"/>
  <c r="AC24"/>
  <c r="AD24"/>
  <c r="AE24"/>
  <c r="AF24"/>
  <c r="AG24"/>
  <c r="AH24"/>
  <c r="AI24"/>
  <c r="AI24" a="1"/>
  <c r="A25"/>
  <c r="H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J25" a="1"/>
  <c r="A26"/>
  <c r="H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K26" a="1"/>
  <c r="A27"/>
  <c r="H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L27" a="1"/>
  <c r="A28"/>
  <c r="H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M28" a="1"/>
  <c r="A29"/>
  <c r="H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N29" a="1"/>
  <c r="A30"/>
  <c r="H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O30" a="1"/>
  <c r="A31"/>
  <c r="H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P31" a="1"/>
  <c r="A32"/>
  <c r="H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Q32" a="1"/>
  <c r="A33"/>
  <c r="H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R33" a="1"/>
  <c r="A34"/>
  <c r="H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S34" a="1"/>
  <c r="A35"/>
  <c r="H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T35" a="1"/>
  <c r="A36"/>
  <c r="H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U36" a="1"/>
  <c r="A37"/>
  <c r="H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V37" a="1"/>
  <c r="A38"/>
  <c r="H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W38" a="1"/>
  <c r="A39"/>
  <c r="H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X39" a="1"/>
  <c r="A40"/>
  <c r="H40"/>
  <c r="A41"/>
  <c r="H41"/>
  <c r="A42"/>
  <c r="H42"/>
  <c r="A43"/>
  <c r="H43"/>
  <c r="A44"/>
  <c r="H44"/>
  <c r="A45"/>
  <c r="H45"/>
  <c r="A46"/>
  <c r="H46"/>
  <c r="A47"/>
  <c r="H47"/>
  <c r="A48"/>
  <c r="H48"/>
  <c r="A49"/>
  <c r="H49"/>
  <c r="A50"/>
  <c r="H50"/>
  <c r="A51"/>
  <c r="H51"/>
  <c r="A52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E6" i="17"/>
  <c r="E7"/>
  <c r="F8"/>
  <c r="F10"/>
  <c r="D11"/>
  <c r="E11"/>
  <c r="D4" i="10"/>
  <c r="D6" s="1"/>
  <c r="E16" i="17"/>
  <c r="F16"/>
  <c r="E17"/>
  <c r="F17"/>
  <c r="E18"/>
  <c r="F18"/>
  <c r="E19"/>
  <c r="F19"/>
  <c r="E20"/>
  <c r="F20"/>
  <c r="D21"/>
  <c r="L6" i="16"/>
  <c r="M6"/>
  <c r="N6" s="1"/>
  <c r="S6"/>
  <c r="L7"/>
  <c r="M7"/>
  <c r="P7" s="1"/>
  <c r="S7"/>
  <c r="L8"/>
  <c r="M8"/>
  <c r="N8" s="1"/>
  <c r="S8"/>
  <c r="L9"/>
  <c r="M9"/>
  <c r="N9" s="1"/>
  <c r="S9"/>
  <c r="L10"/>
  <c r="M10"/>
  <c r="N10" s="1"/>
  <c r="S10"/>
  <c r="L11"/>
  <c r="M11"/>
  <c r="O11" s="1"/>
  <c r="S11"/>
  <c r="L17"/>
  <c r="M17"/>
  <c r="N17" s="1"/>
  <c r="S12"/>
  <c r="L18"/>
  <c r="M18"/>
  <c r="N18" s="1"/>
  <c r="S13"/>
  <c r="L19"/>
  <c r="M19"/>
  <c r="N19" s="1"/>
  <c r="S14"/>
  <c r="L20"/>
  <c r="M20"/>
  <c r="N20" s="1"/>
  <c r="S15"/>
  <c r="S16"/>
  <c r="S17"/>
  <c r="S18"/>
  <c r="S19"/>
  <c r="S20"/>
  <c r="S21"/>
  <c r="S22"/>
  <c r="S23"/>
  <c r="S24"/>
  <c r="S25"/>
  <c r="S26"/>
  <c r="N32"/>
  <c r="O32"/>
  <c r="P32"/>
  <c r="S27"/>
  <c r="N33"/>
  <c r="N42"/>
  <c r="O33"/>
  <c r="P33"/>
  <c r="P42"/>
  <c r="S28"/>
  <c r="N34"/>
  <c r="O34"/>
  <c r="P34"/>
  <c r="S29"/>
  <c r="N35"/>
  <c r="O35"/>
  <c r="P35"/>
  <c r="S30"/>
  <c r="N36"/>
  <c r="O36"/>
  <c r="P36"/>
  <c r="S31"/>
  <c r="N37"/>
  <c r="O37"/>
  <c r="P37"/>
  <c r="S32"/>
  <c r="L38"/>
  <c r="N38"/>
  <c r="O38"/>
  <c r="P38"/>
  <c r="S33"/>
  <c r="L39"/>
  <c r="N39"/>
  <c r="O39"/>
  <c r="P39"/>
  <c r="S34"/>
  <c r="L40"/>
  <c r="N40"/>
  <c r="O40"/>
  <c r="P40"/>
  <c r="S35"/>
  <c r="L32"/>
  <c r="L41"/>
  <c r="N41"/>
  <c r="O41"/>
  <c r="P41"/>
  <c r="S36"/>
  <c r="O42"/>
  <c r="S37"/>
  <c r="S38"/>
  <c r="S39"/>
  <c r="S40"/>
  <c r="S41"/>
  <c r="S42"/>
  <c r="S43"/>
  <c r="S44"/>
  <c r="S45"/>
  <c r="S46"/>
  <c r="S47"/>
  <c r="S48"/>
  <c r="S49"/>
  <c r="F6" i="15"/>
  <c r="F7"/>
  <c r="F8"/>
  <c r="F9"/>
  <c r="F10"/>
  <c r="F11"/>
  <c r="F12"/>
  <c r="F13"/>
  <c r="F14"/>
  <c r="Q6" i="14"/>
  <c r="Q26"/>
  <c r="T6"/>
  <c r="V6"/>
  <c r="E7"/>
  <c r="E11"/>
  <c r="F7"/>
  <c r="H29"/>
  <c r="H7"/>
  <c r="Q7"/>
  <c r="V7"/>
  <c r="E8"/>
  <c r="F8"/>
  <c r="H8"/>
  <c r="Q8"/>
  <c r="V8"/>
  <c r="E9"/>
  <c r="F9"/>
  <c r="H9"/>
  <c r="Q9"/>
  <c r="V9"/>
  <c r="E10"/>
  <c r="F10"/>
  <c r="H10"/>
  <c r="Q10"/>
  <c r="V10"/>
  <c r="D11"/>
  <c r="H11"/>
  <c r="E61"/>
  <c r="Q11"/>
  <c r="V11"/>
  <c r="Q12"/>
  <c r="V12"/>
  <c r="Q13"/>
  <c r="V13"/>
  <c r="E14"/>
  <c r="F14"/>
  <c r="H36"/>
  <c r="H14"/>
  <c r="Q14"/>
  <c r="V14"/>
  <c r="E15"/>
  <c r="F15"/>
  <c r="H37"/>
  <c r="H15"/>
  <c r="Q25"/>
  <c r="E16"/>
  <c r="E19" s="1"/>
  <c r="F16"/>
  <c r="H38"/>
  <c r="H16"/>
  <c r="M26"/>
  <c r="N26"/>
  <c r="O26"/>
  <c r="P26"/>
  <c r="R26"/>
  <c r="S26"/>
  <c r="E17"/>
  <c r="F17"/>
  <c r="H39"/>
  <c r="H17"/>
  <c r="E18"/>
  <c r="F18"/>
  <c r="G18"/>
  <c r="H18"/>
  <c r="D19"/>
  <c r="T31"/>
  <c r="T32"/>
  <c r="T33"/>
  <c r="T34"/>
  <c r="T35"/>
  <c r="T36"/>
  <c r="T47"/>
  <c r="T48"/>
  <c r="E29"/>
  <c r="F29"/>
  <c r="G29"/>
  <c r="T49"/>
  <c r="E30"/>
  <c r="F30"/>
  <c r="G30"/>
  <c r="T50"/>
  <c r="E31"/>
  <c r="F31"/>
  <c r="G31"/>
  <c r="E32"/>
  <c r="F32"/>
  <c r="G32"/>
  <c r="D33"/>
  <c r="E36"/>
  <c r="F36"/>
  <c r="G36"/>
  <c r="E37"/>
  <c r="F37"/>
  <c r="G37"/>
  <c r="E38"/>
  <c r="F38"/>
  <c r="G38"/>
  <c r="E39"/>
  <c r="F39"/>
  <c r="G39"/>
  <c r="E40"/>
  <c r="F40"/>
  <c r="G40"/>
  <c r="H40"/>
  <c r="D41"/>
  <c r="G12" i="13"/>
  <c r="L12"/>
  <c r="I13"/>
  <c r="J13"/>
  <c r="L13"/>
  <c r="K15"/>
  <c r="D18" i="12"/>
  <c r="F8" i="13"/>
  <c r="G18" i="12"/>
  <c r="G8" i="13"/>
  <c r="M18" i="12"/>
  <c r="I8" i="13"/>
  <c r="P18" i="12"/>
  <c r="J8" i="13"/>
  <c r="S18" i="12"/>
  <c r="K8" i="13"/>
  <c r="V18" i="12"/>
  <c r="L8" i="13" s="1"/>
  <c r="Y18" i="12"/>
  <c r="Z18"/>
  <c r="AB18"/>
  <c r="AC18"/>
  <c r="G18" i="11"/>
  <c r="G7" i="13" s="1"/>
  <c r="I7"/>
  <c r="P18" i="11"/>
  <c r="J7" i="13" s="1"/>
  <c r="K7"/>
  <c r="V18" i="11"/>
  <c r="L7" i="13"/>
  <c r="D16" i="10"/>
  <c r="P19" i="16"/>
  <c r="P17"/>
  <c r="N12"/>
  <c r="P14"/>
  <c r="P16"/>
  <c r="F33" i="14"/>
  <c r="H19"/>
  <c r="E62" s="1"/>
  <c r="E63" s="1"/>
  <c r="H18" i="13"/>
  <c r="F11" i="17"/>
  <c r="O19" i="16"/>
  <c r="O17"/>
  <c r="O13"/>
  <c r="N13"/>
  <c r="O15"/>
  <c r="N15"/>
  <c r="N16"/>
  <c r="N14"/>
  <c r="H31" i="14"/>
  <c r="H30"/>
  <c r="H32"/>
  <c r="L33" i="16"/>
  <c r="L36"/>
  <c r="L34"/>
  <c r="L37"/>
  <c r="L35"/>
  <c r="G41" i="14" l="1"/>
  <c r="D9" i="10"/>
  <c r="G33" i="14"/>
  <c r="E33"/>
  <c r="O20" i="16"/>
  <c r="O18"/>
  <c r="P18"/>
  <c r="P20"/>
  <c r="T51" i="14"/>
  <c r="F41"/>
  <c r="I10" i="13" s="1"/>
  <c r="T26" i="14"/>
  <c r="P12" i="16"/>
  <c r="F21" i="17"/>
  <c r="D18" i="10" s="1"/>
  <c r="P11" i="16"/>
  <c r="E21" i="17"/>
  <c r="E41" i="14"/>
  <c r="D21" i="12"/>
  <c r="I7" i="10" s="1"/>
  <c r="N11" i="16"/>
  <c r="H33" i="14"/>
  <c r="F61" s="1"/>
  <c r="L42" i="16"/>
  <c r="P10"/>
  <c r="O10"/>
  <c r="F35" i="15"/>
  <c r="O8" i="16"/>
  <c r="P8"/>
  <c r="P9"/>
  <c r="O9"/>
  <c r="O6"/>
  <c r="O7"/>
  <c r="N7"/>
  <c r="H41" i="14"/>
  <c r="K18" i="13"/>
  <c r="F16" i="15"/>
  <c r="F18" i="13"/>
  <c r="L21" i="16"/>
  <c r="P6"/>
  <c r="G18" i="13"/>
  <c r="L18"/>
  <c r="D21" i="11"/>
  <c r="I6" i="10" s="1"/>
  <c r="N7" i="18"/>
  <c r="N11" i="13" s="1"/>
  <c r="L6" i="10" l="1"/>
  <c r="E10" i="13"/>
  <c r="J10"/>
  <c r="L51" i="16"/>
  <c r="D19" i="10" s="1"/>
  <c r="I9"/>
  <c r="N21" i="16"/>
  <c r="M51" s="1"/>
  <c r="E9" i="13" s="1"/>
  <c r="E18" s="1"/>
  <c r="D13" i="10"/>
  <c r="P21" i="16"/>
  <c r="O51" s="1"/>
  <c r="J9" i="13" s="1"/>
  <c r="D17" i="10"/>
  <c r="O21" i="16"/>
  <c r="N51" s="1"/>
  <c r="I9" i="13" s="1"/>
  <c r="I18" s="1"/>
  <c r="D14" i="10"/>
  <c r="F62" i="14"/>
  <c r="F63" s="1"/>
  <c r="D15" i="10"/>
  <c r="J18" i="13" l="1"/>
  <c r="C21" s="1"/>
  <c r="A18" s="1"/>
  <c r="N18" s="1"/>
  <c r="D22" i="10"/>
  <c r="L7" s="1"/>
  <c r="L9" s="1"/>
</calcChain>
</file>

<file path=xl/sharedStrings.xml><?xml version="1.0" encoding="utf-8"?>
<sst xmlns="http://schemas.openxmlformats.org/spreadsheetml/2006/main" count="988" uniqueCount="275">
  <si>
    <t>Training</t>
  </si>
  <si>
    <t>Total</t>
  </si>
  <si>
    <t>E</t>
  </si>
  <si>
    <t>D</t>
  </si>
  <si>
    <t>F</t>
  </si>
  <si>
    <t>Mozambique</t>
  </si>
  <si>
    <t>Serbia</t>
  </si>
  <si>
    <t>Persia</t>
  </si>
  <si>
    <t>Siam</t>
  </si>
  <si>
    <t>Argentina</t>
  </si>
  <si>
    <t>Chile</t>
  </si>
  <si>
    <t>Ecuador</t>
  </si>
  <si>
    <t>Guatemala</t>
  </si>
  <si>
    <t>Nicaragua</t>
  </si>
  <si>
    <t>Peru</t>
  </si>
  <si>
    <t>Venezuela</t>
  </si>
  <si>
    <t>Poblacion</t>
  </si>
  <si>
    <t>Rentas</t>
  </si>
  <si>
    <t>Colonias</t>
  </si>
  <si>
    <t>Balanza Fiscal</t>
  </si>
  <si>
    <t>Importaciones</t>
  </si>
  <si>
    <t>Exportaciones</t>
  </si>
  <si>
    <t>Balanza Comercial</t>
  </si>
  <si>
    <t>Otros costes</t>
  </si>
  <si>
    <t>Armada</t>
  </si>
  <si>
    <t>Ejercito</t>
  </si>
  <si>
    <t>Investigación</t>
  </si>
  <si>
    <t>Inversiones</t>
  </si>
  <si>
    <t>Balanza Neta</t>
  </si>
  <si>
    <t>Ingresos</t>
  </si>
  <si>
    <t>Gastos</t>
  </si>
  <si>
    <t>Austro- Hungría</t>
  </si>
  <si>
    <t>Inglaterra</t>
  </si>
  <si>
    <t>Francia</t>
  </si>
  <si>
    <t>Alemania</t>
  </si>
  <si>
    <t>Italia</t>
  </si>
  <si>
    <t>Japón</t>
  </si>
  <si>
    <t>Rusia</t>
  </si>
  <si>
    <t>Mercado Mundial</t>
  </si>
  <si>
    <t>Mercados Cautivos</t>
  </si>
  <si>
    <t>Comida</t>
  </si>
  <si>
    <t>Precios de Base</t>
  </si>
  <si>
    <t>Varios</t>
  </si>
  <si>
    <t>Carbon</t>
  </si>
  <si>
    <t>Hierro</t>
  </si>
  <si>
    <t>Exóticos</t>
  </si>
  <si>
    <t>Bienes</t>
  </si>
  <si>
    <t>Diferencia</t>
  </si>
  <si>
    <t>Armas</t>
  </si>
  <si>
    <t>Industria</t>
  </si>
  <si>
    <t>En Stock</t>
  </si>
  <si>
    <t>Producidos</t>
  </si>
  <si>
    <t>Importados</t>
  </si>
  <si>
    <t>Exportados</t>
  </si>
  <si>
    <t>Uso interno</t>
  </si>
  <si>
    <t>Uso militar</t>
  </si>
  <si>
    <t>Bienes (1)</t>
  </si>
  <si>
    <t>Bienes (2)</t>
  </si>
  <si>
    <t>Otros usos</t>
  </si>
  <si>
    <t>Resultante</t>
  </si>
  <si>
    <t>Ud</t>
  </si>
  <si>
    <t>Coste Neto</t>
  </si>
  <si>
    <t>Estado Fallido</t>
  </si>
  <si>
    <t>Estado en recesión</t>
  </si>
  <si>
    <t>Economía estancada</t>
  </si>
  <si>
    <t>Normal</t>
  </si>
  <si>
    <t>Economía próspera</t>
  </si>
  <si>
    <t>Economía en alza</t>
  </si>
  <si>
    <t>Boom económico</t>
  </si>
  <si>
    <t>Tasas</t>
  </si>
  <si>
    <t>Tu Pais Goza de un nivel de desarrollo:</t>
  </si>
  <si>
    <t>Pob. Tasable</t>
  </si>
  <si>
    <t>Inf. Regular</t>
  </si>
  <si>
    <t>Inf. Reserva</t>
  </si>
  <si>
    <t>Caballeria</t>
  </si>
  <si>
    <t>Nº tropas</t>
  </si>
  <si>
    <t>Nº divisiones</t>
  </si>
  <si>
    <t>Entrenamiento</t>
  </si>
  <si>
    <t>EJERCITO DE TIERRA</t>
  </si>
  <si>
    <t>Nº unidades</t>
  </si>
  <si>
    <t>Tecnología</t>
  </si>
  <si>
    <t>Acorazados</t>
  </si>
  <si>
    <t>Cruceros</t>
  </si>
  <si>
    <t>Buques menores</t>
  </si>
  <si>
    <t>Submarinos</t>
  </si>
  <si>
    <t>Transportes</t>
  </si>
  <si>
    <t>MARINA</t>
  </si>
  <si>
    <t>Unid. Asedio</t>
  </si>
  <si>
    <t>EFECTIVOS MILITARES</t>
  </si>
  <si>
    <t>Buques</t>
  </si>
  <si>
    <t>Situación</t>
  </si>
  <si>
    <t>Destino</t>
  </si>
  <si>
    <t>1ª Flota</t>
  </si>
  <si>
    <t>2ª Flota</t>
  </si>
  <si>
    <t>3ª Flota</t>
  </si>
  <si>
    <t>4ª Flota</t>
  </si>
  <si>
    <t>5ª Flota</t>
  </si>
  <si>
    <t>6ª Flota</t>
  </si>
  <si>
    <t>7ª Flota</t>
  </si>
  <si>
    <t>8ª Flota</t>
  </si>
  <si>
    <t>9ª Flota</t>
  </si>
  <si>
    <t>10ª Flota</t>
  </si>
  <si>
    <t>DISTRIBUCION DE LOS EFECTIVOS NAVALES</t>
  </si>
  <si>
    <t>1º Ejercito</t>
  </si>
  <si>
    <t>2º Ejercito</t>
  </si>
  <si>
    <t>3º Ejercito</t>
  </si>
  <si>
    <t>4º Ejercito</t>
  </si>
  <si>
    <t>5º Ejercito</t>
  </si>
  <si>
    <t>6º Ejercito</t>
  </si>
  <si>
    <t>7º Ejercito</t>
  </si>
  <si>
    <t>8º Ejercito</t>
  </si>
  <si>
    <t>9º Ejercito</t>
  </si>
  <si>
    <t>10º Ejercito</t>
  </si>
  <si>
    <t>Regulares</t>
  </si>
  <si>
    <t>Asedio</t>
  </si>
  <si>
    <t>DISTRIBUCIÓN DE LOS EFECTIVOS TERRESTRES</t>
  </si>
  <si>
    <t>Mantenimiento</t>
  </si>
  <si>
    <t>CONSTRUCCIÓN DE NUEVOS EFECTIVOS MILITARES</t>
  </si>
  <si>
    <t>Dinero</t>
  </si>
  <si>
    <t>Carbón</t>
  </si>
  <si>
    <t>A</t>
  </si>
  <si>
    <t>B</t>
  </si>
  <si>
    <t>C</t>
  </si>
  <si>
    <t>Ametralladoras</t>
  </si>
  <si>
    <t>Artilleria de asedio</t>
  </si>
  <si>
    <t>Artilleria de campaña</t>
  </si>
  <si>
    <t>Coste básico de la unidad:</t>
  </si>
  <si>
    <t>UNIDADES EN CONSTRUCCION</t>
  </si>
  <si>
    <t>Año inicio</t>
  </si>
  <si>
    <t>Año final</t>
  </si>
  <si>
    <t>Fijos</t>
  </si>
  <si>
    <t>Naval</t>
  </si>
  <si>
    <t>Totales</t>
  </si>
  <si>
    <t>RESUMEN PRESUPUESTO</t>
  </si>
  <si>
    <t>Validar</t>
  </si>
  <si>
    <t>Nivel</t>
  </si>
  <si>
    <t>Coste</t>
  </si>
  <si>
    <t>SI</t>
  </si>
  <si>
    <t>NO</t>
  </si>
  <si>
    <t>ENTRENAMIENTO DE TROPAS</t>
  </si>
  <si>
    <t>Armas ligeras</t>
  </si>
  <si>
    <t>TECNOLOGÍA MILITAR</t>
  </si>
  <si>
    <t>Mejorar</t>
  </si>
  <si>
    <t>----</t>
  </si>
  <si>
    <t>Exótico</t>
  </si>
  <si>
    <t>Ferrocarril</t>
  </si>
  <si>
    <t>Rumania</t>
  </si>
  <si>
    <t>Suecia</t>
  </si>
  <si>
    <t>Hawai</t>
  </si>
  <si>
    <t>Laoss</t>
  </si>
  <si>
    <t>Etiopía</t>
  </si>
  <si>
    <t>Brasil</t>
  </si>
  <si>
    <t>Colombia</t>
  </si>
  <si>
    <t>Canal de Panamá</t>
  </si>
  <si>
    <t>Canal de Nicaragua</t>
  </si>
  <si>
    <t>Inversión</t>
  </si>
  <si>
    <t>Duración</t>
  </si>
  <si>
    <t>Pais</t>
  </si>
  <si>
    <t>Recurso</t>
  </si>
  <si>
    <t>INVERSIONES DISPONIBLES</t>
  </si>
  <si>
    <t>INVERSIONES A EJECUTAR</t>
  </si>
  <si>
    <t>Nada</t>
  </si>
  <si>
    <t>Total:</t>
  </si>
  <si>
    <t>INVERSIONES EN EJECUCIÓN</t>
  </si>
  <si>
    <t>Monetario</t>
  </si>
  <si>
    <t>RESUMEN COSTE ANUAL</t>
  </si>
  <si>
    <t>Industrial</t>
  </si>
  <si>
    <t>Ferrocaril</t>
  </si>
  <si>
    <t>Nacional</t>
  </si>
  <si>
    <t>Sin inversión</t>
  </si>
  <si>
    <t>Social</t>
  </si>
  <si>
    <t>Otros</t>
  </si>
  <si>
    <t>Construcciones</t>
  </si>
  <si>
    <t>Eventuales</t>
  </si>
  <si>
    <t>Nº Instalaciones</t>
  </si>
  <si>
    <t>Fuertes</t>
  </si>
  <si>
    <t>Fortalezas</t>
  </si>
  <si>
    <t>Astilleros</t>
  </si>
  <si>
    <t>Puertos Militares</t>
  </si>
  <si>
    <t>Puertos Comerciales</t>
  </si>
  <si>
    <t>INSTALACIONES MILITARES EXISTENTES</t>
  </si>
  <si>
    <t>CONSTRUCCIÓN DE NUEVAS INSTALACIONES MILITARES</t>
  </si>
  <si>
    <t>Origen</t>
  </si>
  <si>
    <t>Cantidad</t>
  </si>
  <si>
    <t>Londres</t>
  </si>
  <si>
    <t>Paris</t>
  </si>
  <si>
    <t>Roma</t>
  </si>
  <si>
    <t>Viena</t>
  </si>
  <si>
    <t>Moscú</t>
  </si>
  <si>
    <t>Nueva York</t>
  </si>
  <si>
    <t>Washington</t>
  </si>
  <si>
    <t>Los Ángeles</t>
  </si>
  <si>
    <t>Vladivostok</t>
  </si>
  <si>
    <t>San Petesburgo</t>
  </si>
  <si>
    <t>Bombay</t>
  </si>
  <si>
    <t>Shanghai</t>
  </si>
  <si>
    <t>Estambul</t>
  </si>
  <si>
    <t>Buenos Aires</t>
  </si>
  <si>
    <t>Rio de Janeiro</t>
  </si>
  <si>
    <t>Caracas</t>
  </si>
  <si>
    <t>Lisboa</t>
  </si>
  <si>
    <t>Lima</t>
  </si>
  <si>
    <t>Ciudad del cabo</t>
  </si>
  <si>
    <t>Luanda</t>
  </si>
  <si>
    <t>Maputo</t>
  </si>
  <si>
    <t>Singapur</t>
  </si>
  <si>
    <t>Bandar Abbas</t>
  </si>
  <si>
    <t>Djibouti</t>
  </si>
  <si>
    <t>Panamá</t>
  </si>
  <si>
    <t>Yacarta</t>
  </si>
  <si>
    <t>Orán</t>
  </si>
  <si>
    <t>Dakar</t>
  </si>
  <si>
    <t>Melbourne</t>
  </si>
  <si>
    <t>X</t>
  </si>
  <si>
    <t>Hamburgo</t>
  </si>
  <si>
    <t>Estocolmo</t>
  </si>
  <si>
    <t>Malabo</t>
  </si>
  <si>
    <t>N/A</t>
  </si>
  <si>
    <t>Portland</t>
  </si>
  <si>
    <t>Coste Total</t>
  </si>
  <si>
    <t>Transporte</t>
  </si>
  <si>
    <t>Uds.</t>
  </si>
  <si>
    <t>COSTE TOTAL</t>
  </si>
  <si>
    <t>si</t>
  </si>
  <si>
    <t>no</t>
  </si>
  <si>
    <t>con M.G.</t>
  </si>
  <si>
    <t>Logística</t>
  </si>
  <si>
    <t>Logistica</t>
  </si>
  <si>
    <t>Adicional</t>
  </si>
  <si>
    <t>Potencias menores</t>
  </si>
  <si>
    <t>11º Ejercito</t>
  </si>
  <si>
    <t>12º Ejercito</t>
  </si>
  <si>
    <t>13º Ejercito</t>
  </si>
  <si>
    <t>14º Ejercito</t>
  </si>
  <si>
    <t>16º Ejercito</t>
  </si>
  <si>
    <t>15º Ejercito</t>
  </si>
  <si>
    <t>17º Ejercito</t>
  </si>
  <si>
    <t>18º Ejercito</t>
  </si>
  <si>
    <t>19º Ejercito</t>
  </si>
  <si>
    <t>20º Ejercito</t>
  </si>
  <si>
    <t>11ª Flota</t>
  </si>
  <si>
    <t>12ª Flota</t>
  </si>
  <si>
    <t>13ª Flota</t>
  </si>
  <si>
    <t>14ª Flota</t>
  </si>
  <si>
    <t>15ª Flota</t>
  </si>
  <si>
    <t>16ª Flota</t>
  </si>
  <si>
    <t>17ª Flota</t>
  </si>
  <si>
    <t>18ª Flota</t>
  </si>
  <si>
    <t>19ª Flota</t>
  </si>
  <si>
    <t>20ª Flota</t>
  </si>
  <si>
    <t>Mantener</t>
  </si>
  <si>
    <t>La Union</t>
  </si>
  <si>
    <t>E. Confederados</t>
  </si>
  <si>
    <t>Petroleo</t>
  </si>
  <si>
    <t>Bienes (3)</t>
  </si>
  <si>
    <t>I</t>
  </si>
  <si>
    <t>Industria Sintética</t>
  </si>
  <si>
    <t>II</t>
  </si>
  <si>
    <t>III</t>
  </si>
  <si>
    <t>Sudeste</t>
  </si>
  <si>
    <t>Sudoeste</t>
  </si>
  <si>
    <t>Nordeste</t>
  </si>
  <si>
    <t>Noroeste</t>
  </si>
  <si>
    <t>Alaska</t>
  </si>
  <si>
    <t>Boston</t>
  </si>
  <si>
    <t>Baltimore</t>
  </si>
  <si>
    <t>Seattle</t>
  </si>
  <si>
    <t>Cartagena</t>
  </si>
  <si>
    <t>Exótico_Ferro</t>
  </si>
  <si>
    <t>Comida_Ferro</t>
  </si>
  <si>
    <t>Varios_Ferro</t>
  </si>
  <si>
    <t>Industria / Nacional</t>
  </si>
  <si>
    <t>Petroleo / Nacional</t>
  </si>
  <si>
    <t>Comida / Nacional</t>
  </si>
  <si>
    <t>Exótico / Nacional</t>
  </si>
</sst>
</file>

<file path=xl/styles.xml><?xml version="1.0" encoding="utf-8"?>
<styleSheet xmlns="http://schemas.openxmlformats.org/spreadsheetml/2006/main">
  <numFmts count="3">
    <numFmt numFmtId="164" formatCode="0.00000000000000"/>
    <numFmt numFmtId="165" formatCode="#,##0.000000"/>
    <numFmt numFmtId="166" formatCode="0.000000"/>
  </numFmts>
  <fonts count="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slantDashDot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1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6" xfId="0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1" xfId="0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quotePrefix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13" xfId="0" applyBorder="1" applyAlignment="1" applyProtection="1">
      <alignment horizontal="right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right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 wrapText="1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4" fillId="0" borderId="0" xfId="0" applyFont="1" applyBorder="1" applyProtection="1"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1" fillId="0" borderId="29" xfId="0" applyFont="1" applyBorder="1" applyAlignment="1" applyProtection="1">
      <alignment horizontal="center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31" xfId="0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1" fillId="0" borderId="35" xfId="0" applyFont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35" xfId="0" applyFont="1" applyBorder="1" applyProtection="1">
      <protection hidden="1"/>
    </xf>
    <xf numFmtId="0" fontId="1" fillId="0" borderId="36" xfId="0" applyFont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1" fillId="0" borderId="41" xfId="0" applyFont="1" applyBorder="1" applyProtection="1"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0" fillId="3" borderId="32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0" xfId="0" applyBorder="1" applyProtection="1">
      <protection hidden="1"/>
    </xf>
    <xf numFmtId="0" fontId="1" fillId="0" borderId="45" xfId="0" applyFont="1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alignment horizontal="center"/>
      <protection locked="0"/>
    </xf>
    <xf numFmtId="0" fontId="2" fillId="0" borderId="28" xfId="0" applyFont="1" applyBorder="1" applyProtection="1">
      <protection hidden="1"/>
    </xf>
    <xf numFmtId="0" fontId="2" fillId="0" borderId="31" xfId="0" applyFont="1" applyBorder="1" applyProtection="1">
      <protection hidden="1"/>
    </xf>
    <xf numFmtId="0" fontId="0" fillId="0" borderId="48" xfId="0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alignment horizontal="left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2" fillId="0" borderId="26" xfId="0" applyFont="1" applyBorder="1" applyProtection="1">
      <protection hidden="1"/>
    </xf>
    <xf numFmtId="0" fontId="0" fillId="0" borderId="32" xfId="0" quotePrefix="1" applyBorder="1" applyAlignment="1" applyProtection="1">
      <alignment horizontal="center"/>
      <protection hidden="1"/>
    </xf>
    <xf numFmtId="0" fontId="1" fillId="0" borderId="52" xfId="0" applyFont="1" applyBorder="1" applyAlignment="1" applyProtection="1">
      <alignment horizontal="center"/>
      <protection hidden="1"/>
    </xf>
    <xf numFmtId="0" fontId="1" fillId="0" borderId="53" xfId="0" applyFont="1" applyBorder="1" applyAlignment="1" applyProtection="1">
      <alignment horizontal="center"/>
      <protection hidden="1"/>
    </xf>
    <xf numFmtId="0" fontId="1" fillId="0" borderId="54" xfId="0" applyFont="1" applyFill="1" applyBorder="1" applyAlignment="1" applyProtection="1">
      <alignment horizontal="center"/>
      <protection hidden="1"/>
    </xf>
    <xf numFmtId="0" fontId="1" fillId="0" borderId="54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57" xfId="0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0" fillId="0" borderId="38" xfId="0" applyBorder="1" applyProtection="1">
      <protection hidden="1"/>
    </xf>
    <xf numFmtId="0" fontId="0" fillId="0" borderId="58" xfId="0" applyBorder="1" applyProtection="1">
      <protection hidden="1"/>
    </xf>
    <xf numFmtId="0" fontId="1" fillId="0" borderId="45" xfId="0" applyFont="1" applyBorder="1" applyAlignment="1" applyProtection="1">
      <alignment horizontal="right"/>
      <protection hidden="1"/>
    </xf>
    <xf numFmtId="0" fontId="0" fillId="0" borderId="51" xfId="0" applyBorder="1" applyProtection="1">
      <protection hidden="1"/>
    </xf>
    <xf numFmtId="0" fontId="0" fillId="0" borderId="59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1" xfId="0" applyBorder="1" applyAlignment="1" applyProtection="1">
      <alignment horizontal="center"/>
      <protection hidden="1"/>
    </xf>
    <xf numFmtId="0" fontId="1" fillId="0" borderId="61" xfId="0" applyFont="1" applyBorder="1" applyAlignment="1" applyProtection="1">
      <alignment horizontal="center"/>
      <protection hidden="1"/>
    </xf>
    <xf numFmtId="0" fontId="1" fillId="0" borderId="62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0" fillId="0" borderId="65" xfId="0" applyBorder="1" applyProtection="1">
      <protection hidden="1"/>
    </xf>
    <xf numFmtId="0" fontId="0" fillId="0" borderId="66" xfId="0" applyBorder="1" applyProtection="1">
      <protection hidden="1"/>
    </xf>
    <xf numFmtId="0" fontId="2" fillId="0" borderId="0" xfId="0" applyFont="1" applyProtection="1">
      <protection hidden="1"/>
    </xf>
    <xf numFmtId="0" fontId="0" fillId="0" borderId="67" xfId="0" applyBorder="1" applyAlignment="1" applyProtection="1">
      <alignment horizontal="center"/>
      <protection hidden="1"/>
    </xf>
    <xf numFmtId="0" fontId="0" fillId="0" borderId="42" xfId="0" applyFill="1" applyBorder="1" applyAlignment="1" applyProtection="1">
      <alignment horizontal="center"/>
      <protection hidden="1"/>
    </xf>
    <xf numFmtId="0" fontId="0" fillId="0" borderId="68" xfId="0" applyBorder="1" applyProtection="1">
      <protection hidden="1"/>
    </xf>
    <xf numFmtId="0" fontId="0" fillId="0" borderId="26" xfId="0" applyFont="1" applyBorder="1" applyAlignment="1" applyProtection="1">
      <alignment horizontal="right"/>
      <protection hidden="1"/>
    </xf>
    <xf numFmtId="0" fontId="4" fillId="0" borderId="20" xfId="0" applyFon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7" xfId="0" applyFont="1" applyBorder="1" applyProtection="1">
      <protection hidden="1"/>
    </xf>
    <xf numFmtId="0" fontId="0" fillId="3" borderId="37" xfId="0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31" xfId="0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0" fontId="0" fillId="0" borderId="32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1" fillId="0" borderId="36" xfId="0" applyFont="1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1" fillId="0" borderId="41" xfId="0" applyFont="1" applyBorder="1" applyAlignment="1" applyProtection="1">
      <alignment horizontal="left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69" xfId="0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66" xfId="0" applyBorder="1" applyAlignment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/>
    </xf>
    <xf numFmtId="0" fontId="0" fillId="0" borderId="70" xfId="0" applyBorder="1" applyProtection="1"/>
    <xf numFmtId="0" fontId="0" fillId="0" borderId="71" xfId="0" applyBorder="1" applyAlignment="1" applyProtection="1">
      <alignment horizontal="center"/>
    </xf>
    <xf numFmtId="0" fontId="0" fillId="0" borderId="71" xfId="0" applyBorder="1" applyProtection="1"/>
    <xf numFmtId="0" fontId="0" fillId="0" borderId="72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3" xfId="0" applyBorder="1" applyProtection="1"/>
    <xf numFmtId="0" fontId="0" fillId="0" borderId="0" xfId="0" applyBorder="1" applyAlignment="1" applyProtection="1">
      <alignment horizontal="center"/>
    </xf>
    <xf numFmtId="0" fontId="0" fillId="0" borderId="74" xfId="0" applyBorder="1" applyAlignment="1" applyProtection="1">
      <alignment horizontal="center"/>
    </xf>
    <xf numFmtId="0" fontId="0" fillId="0" borderId="73" xfId="0" applyBorder="1" applyAlignment="1" applyProtection="1">
      <alignment horizontal="center"/>
    </xf>
    <xf numFmtId="0" fontId="0" fillId="0" borderId="74" xfId="0" applyBorder="1" applyAlignment="1" applyProtection="1">
      <alignment horizontal="left"/>
    </xf>
    <xf numFmtId="0" fontId="0" fillId="0" borderId="75" xfId="0" applyFill="1" applyBorder="1" applyAlignment="1" applyProtection="1">
      <alignment horizontal="center"/>
    </xf>
    <xf numFmtId="0" fontId="0" fillId="0" borderId="76" xfId="0" applyBorder="1" applyProtection="1"/>
    <xf numFmtId="0" fontId="0" fillId="0" borderId="74" xfId="0" applyBorder="1" applyProtection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77" xfId="0" applyFill="1" applyBorder="1" applyAlignment="1" applyProtection="1">
      <alignment horizontal="center"/>
    </xf>
    <xf numFmtId="0" fontId="0" fillId="0" borderId="78" xfId="0" applyBorder="1" applyProtection="1"/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79" xfId="0" applyBorder="1" applyProtection="1"/>
    <xf numFmtId="0" fontId="0" fillId="0" borderId="80" xfId="0" applyBorder="1" applyProtection="1"/>
    <xf numFmtId="0" fontId="0" fillId="0" borderId="81" xfId="0" applyBorder="1" applyProtection="1"/>
    <xf numFmtId="0" fontId="0" fillId="0" borderId="82" xfId="0" applyFill="1" applyBorder="1" applyAlignment="1" applyProtection="1">
      <alignment horizontal="center"/>
    </xf>
    <xf numFmtId="0" fontId="0" fillId="0" borderId="83" xfId="0" applyBorder="1" applyProtection="1"/>
    <xf numFmtId="0" fontId="0" fillId="0" borderId="80" xfId="0" applyBorder="1" applyAlignment="1" applyProtection="1">
      <alignment horizontal="center"/>
    </xf>
    <xf numFmtId="0" fontId="0" fillId="5" borderId="76" xfId="0" applyFill="1" applyBorder="1" applyAlignment="1" applyProtection="1">
      <alignment horizontal="center"/>
      <protection locked="0"/>
    </xf>
    <xf numFmtId="0" fontId="0" fillId="5" borderId="78" xfId="0" applyFill="1" applyBorder="1" applyAlignment="1" applyProtection="1">
      <alignment horizontal="center"/>
      <protection locked="0"/>
    </xf>
    <xf numFmtId="0" fontId="0" fillId="5" borderId="83" xfId="0" applyFill="1" applyBorder="1" applyAlignment="1" applyProtection="1">
      <alignment horizontal="center"/>
      <protection locked="0"/>
    </xf>
    <xf numFmtId="0" fontId="0" fillId="5" borderId="75" xfId="0" applyFill="1" applyBorder="1" applyAlignment="1" applyProtection="1">
      <alignment horizontal="center"/>
      <protection locked="0"/>
    </xf>
    <xf numFmtId="0" fontId="0" fillId="5" borderId="77" xfId="0" applyFill="1" applyBorder="1" applyAlignment="1" applyProtection="1">
      <alignment horizontal="center"/>
      <protection locked="0"/>
    </xf>
    <xf numFmtId="0" fontId="0" fillId="5" borderId="82" xfId="0" applyFill="1" applyBorder="1" applyAlignment="1" applyProtection="1">
      <alignment horizontal="center"/>
      <protection locked="0"/>
    </xf>
    <xf numFmtId="0" fontId="0" fillId="5" borderId="84" xfId="0" applyFill="1" applyBorder="1" applyAlignment="1" applyProtection="1">
      <alignment horizontal="center"/>
      <protection locked="0"/>
    </xf>
    <xf numFmtId="0" fontId="0" fillId="5" borderId="85" xfId="0" applyFill="1" applyBorder="1" applyAlignment="1" applyProtection="1">
      <alignment horizontal="center"/>
      <protection locked="0"/>
    </xf>
    <xf numFmtId="0" fontId="0" fillId="5" borderId="86" xfId="0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" fontId="5" fillId="0" borderId="0" xfId="0" applyNumberFormat="1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0" fillId="6" borderId="32" xfId="0" applyFill="1" applyBorder="1" applyAlignment="1" applyProtection="1">
      <alignment horizontal="center"/>
      <protection hidden="1"/>
    </xf>
    <xf numFmtId="0" fontId="0" fillId="6" borderId="38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6" fontId="0" fillId="3" borderId="9" xfId="0" applyNumberFormat="1" applyFill="1" applyBorder="1" applyAlignment="1" applyProtection="1">
      <alignment horizontal="center"/>
      <protection hidden="1"/>
    </xf>
    <xf numFmtId="166" fontId="0" fillId="0" borderId="87" xfId="0" applyNumberFormat="1" applyBorder="1" applyAlignment="1" applyProtection="1">
      <alignment horizontal="center"/>
      <protection hidden="1"/>
    </xf>
    <xf numFmtId="166" fontId="0" fillId="0" borderId="10" xfId="0" applyNumberFormat="1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32" xfId="0" applyNumberFormat="1" applyBorder="1" applyAlignment="1" applyProtection="1">
      <alignment horizontal="center"/>
      <protection hidden="1"/>
    </xf>
    <xf numFmtId="166" fontId="0" fillId="0" borderId="2" xfId="0" applyNumberFormat="1" applyBorder="1" applyAlignment="1" applyProtection="1">
      <alignment horizontal="center"/>
      <protection hidden="1"/>
    </xf>
    <xf numFmtId="166" fontId="0" fillId="8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Fill="1" applyBorder="1" applyAlignment="1" applyProtection="1">
      <alignment horizontal="center"/>
      <protection hidden="1"/>
    </xf>
    <xf numFmtId="166" fontId="0" fillId="3" borderId="32" xfId="0" applyNumberFormat="1" applyFill="1" applyBorder="1" applyAlignment="1" applyProtection="1">
      <alignment horizontal="center"/>
      <protection hidden="1"/>
    </xf>
    <xf numFmtId="166" fontId="0" fillId="0" borderId="32" xfId="0" applyNumberFormat="1" applyFill="1" applyBorder="1" applyAlignment="1" applyProtection="1">
      <alignment horizontal="center"/>
      <protection hidden="1"/>
    </xf>
    <xf numFmtId="166" fontId="0" fillId="3" borderId="2" xfId="0" applyNumberFormat="1" applyFill="1" applyBorder="1" applyAlignment="1" applyProtection="1">
      <alignment horizontal="center"/>
      <protection hidden="1"/>
    </xf>
    <xf numFmtId="166" fontId="0" fillId="5" borderId="32" xfId="0" applyNumberFormat="1" applyFill="1" applyBorder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center"/>
      <protection locked="0"/>
    </xf>
    <xf numFmtId="166" fontId="0" fillId="8" borderId="32" xfId="0" applyNumberFormat="1" applyFill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  <protection locked="0"/>
    </xf>
    <xf numFmtId="166" fontId="0" fillId="8" borderId="37" xfId="0" applyNumberFormat="1" applyFill="1" applyBorder="1" applyAlignment="1" applyProtection="1">
      <alignment horizontal="center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166" fontId="0" fillId="8" borderId="89" xfId="0" applyNumberFormat="1" applyFill="1" applyBorder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90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0" fontId="1" fillId="0" borderId="91" xfId="0" applyFont="1" applyBorder="1" applyAlignment="1" applyProtection="1">
      <alignment horizontal="center"/>
    </xf>
    <xf numFmtId="0" fontId="1" fillId="0" borderId="92" xfId="0" applyFont="1" applyBorder="1" applyAlignment="1" applyProtection="1">
      <alignment horizontal="center"/>
    </xf>
    <xf numFmtId="0" fontId="1" fillId="0" borderId="9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hidden="1"/>
    </xf>
    <xf numFmtId="1" fontId="0" fillId="0" borderId="0" xfId="0" applyNumberFormat="1" applyFont="1" applyAlignment="1" applyProtection="1">
      <alignment horizontal="center"/>
      <protection hidden="1"/>
    </xf>
    <xf numFmtId="0" fontId="0" fillId="6" borderId="0" xfId="0" applyFill="1" applyBorder="1" applyProtection="1"/>
    <xf numFmtId="0" fontId="1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  <protection hidden="1"/>
    </xf>
    <xf numFmtId="49" fontId="6" fillId="0" borderId="20" xfId="0" applyNumberFormat="1" applyFont="1" applyBorder="1" applyProtection="1">
      <protection hidden="1"/>
    </xf>
    <xf numFmtId="0" fontId="6" fillId="0" borderId="27" xfId="0" applyFont="1" applyBorder="1" applyProtection="1">
      <protection hidden="1"/>
    </xf>
    <xf numFmtId="166" fontId="0" fillId="2" borderId="94" xfId="0" applyNumberFormat="1" applyFill="1" applyBorder="1" applyAlignment="1" applyProtection="1">
      <alignment horizontal="center"/>
      <protection locked="0"/>
    </xf>
    <xf numFmtId="166" fontId="0" fillId="5" borderId="32" xfId="0" applyNumberFormat="1" applyFill="1" applyBorder="1" applyAlignment="1" applyProtection="1">
      <alignment horizontal="center"/>
      <protection locked="0" hidden="1"/>
    </xf>
    <xf numFmtId="166" fontId="0" fillId="0" borderId="89" xfId="0" applyNumberFormat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</xf>
    <xf numFmtId="166" fontId="0" fillId="6" borderId="37" xfId="0" applyNumberFormat="1" applyFill="1" applyBorder="1" applyAlignment="1" applyProtection="1">
      <alignment horizontal="center"/>
      <protection hidden="1"/>
    </xf>
    <xf numFmtId="0" fontId="6" fillId="0" borderId="23" xfId="0" applyFont="1" applyBorder="1" applyProtection="1">
      <protection hidden="1"/>
    </xf>
    <xf numFmtId="0" fontId="6" fillId="0" borderId="25" xfId="0" applyFont="1" applyBorder="1" applyProtection="1">
      <protection hidden="1"/>
    </xf>
    <xf numFmtId="0" fontId="1" fillId="0" borderId="55" xfId="0" applyFont="1" applyBorder="1" applyProtection="1">
      <protection hidden="1"/>
    </xf>
    <xf numFmtId="0" fontId="0" fillId="0" borderId="57" xfId="0" applyFont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5" fillId="0" borderId="14" xfId="0" applyFont="1" applyBorder="1" applyProtection="1">
      <protection hidden="1"/>
    </xf>
    <xf numFmtId="1" fontId="0" fillId="0" borderId="10" xfId="0" applyNumberFormat="1" applyBorder="1" applyProtection="1">
      <protection hidden="1"/>
    </xf>
    <xf numFmtId="0" fontId="4" fillId="0" borderId="0" xfId="0" applyFont="1" applyBorder="1" applyAlignment="1" applyProtection="1"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1" fillId="0" borderId="95" xfId="0" applyFont="1" applyBorder="1" applyAlignment="1" applyProtection="1">
      <alignment horizontal="center"/>
      <protection hidden="1"/>
    </xf>
    <xf numFmtId="0" fontId="1" fillId="0" borderId="96" xfId="0" applyFont="1" applyBorder="1" applyAlignment="1" applyProtection="1">
      <alignment horizontal="center"/>
      <protection hidden="1"/>
    </xf>
    <xf numFmtId="0" fontId="1" fillId="0" borderId="68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2" borderId="55" xfId="0" applyFill="1" applyBorder="1" applyAlignment="1" applyProtection="1">
      <protection locked="0"/>
    </xf>
    <xf numFmtId="0" fontId="0" fillId="2" borderId="56" xfId="0" applyFill="1" applyBorder="1" applyAlignment="1" applyProtection="1">
      <protection locked="0"/>
    </xf>
    <xf numFmtId="0" fontId="1" fillId="0" borderId="97" xfId="0" applyFont="1" applyBorder="1" applyAlignment="1" applyProtection="1">
      <alignment horizontal="center"/>
      <protection hidden="1"/>
    </xf>
    <xf numFmtId="0" fontId="1" fillId="0" borderId="98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protection hidden="1"/>
    </xf>
    <xf numFmtId="0" fontId="0" fillId="0" borderId="56" xfId="0" applyBorder="1" applyAlignment="1" applyProtection="1">
      <protection hidden="1"/>
    </xf>
    <xf numFmtId="0" fontId="0" fillId="2" borderId="99" xfId="0" applyFill="1" applyBorder="1" applyAlignment="1" applyProtection="1">
      <protection locked="0"/>
    </xf>
    <xf numFmtId="0" fontId="0" fillId="0" borderId="99" xfId="0" applyBorder="1" applyAlignment="1" applyProtection="1">
      <protection hidden="1"/>
    </xf>
    <xf numFmtId="0" fontId="1" fillId="0" borderId="95" xfId="0" applyFont="1" applyBorder="1" applyAlignment="1" applyProtection="1">
      <alignment horizontal="center"/>
    </xf>
    <xf numFmtId="0" fontId="1" fillId="0" borderId="96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</xf>
    <xf numFmtId="0" fontId="0" fillId="0" borderId="96" xfId="0" applyBorder="1" applyProtection="1"/>
    <xf numFmtId="0" fontId="0" fillId="0" borderId="1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S29"/>
  <sheetViews>
    <sheetView showGridLines="0" tabSelected="1" workbookViewId="0">
      <selection activeCell="D20" sqref="D20"/>
    </sheetView>
  </sheetViews>
  <sheetFormatPr baseColWidth="10" defaultRowHeight="12.75"/>
  <cols>
    <col min="1" max="1" width="11.42578125" style="1"/>
    <col min="2" max="2" width="2.7109375" style="1" customWidth="1"/>
    <col min="3" max="3" width="13.7109375" style="1" bestFit="1" customWidth="1"/>
    <col min="4" max="4" width="11.28515625" style="1" customWidth="1"/>
    <col min="5" max="5" width="2.7109375" style="1" customWidth="1"/>
    <col min="6" max="6" width="11.42578125" style="1"/>
    <col min="7" max="7" width="2.7109375" style="1" customWidth="1"/>
    <col min="8" max="8" width="16.7109375" style="1" bestFit="1" customWidth="1"/>
    <col min="9" max="9" width="16.7109375" style="1" customWidth="1"/>
    <col min="10" max="10" width="18.5703125" style="1" customWidth="1"/>
    <col min="11" max="11" width="12.140625" style="1" bestFit="1" customWidth="1"/>
    <col min="12" max="12" width="11.42578125" style="1"/>
    <col min="13" max="13" width="2.7109375" style="14" customWidth="1"/>
    <col min="14" max="14" width="18.5703125" style="14" bestFit="1" customWidth="1"/>
    <col min="15" max="18" width="7.7109375" style="15" customWidth="1"/>
    <col min="19" max="19" width="11.42578125" style="14"/>
    <col min="20" max="16384" width="11.42578125" style="1"/>
  </cols>
  <sheetData>
    <row r="1" spans="2:19" ht="13.5" thickBot="1">
      <c r="O1" s="14"/>
      <c r="P1" s="14"/>
      <c r="Q1" s="14"/>
      <c r="R1" s="14"/>
    </row>
    <row r="2" spans="2:19" ht="13.5" thickBot="1">
      <c r="B2" s="44"/>
      <c r="C2" s="45"/>
      <c r="D2" s="45"/>
      <c r="E2" s="47"/>
      <c r="G2" s="44"/>
      <c r="H2" s="45"/>
      <c r="I2" s="45"/>
      <c r="J2" s="45"/>
      <c r="K2" s="45"/>
      <c r="L2" s="45"/>
      <c r="M2" s="139"/>
    </row>
    <row r="3" spans="2:19" ht="13.5" thickBot="1">
      <c r="B3" s="48"/>
      <c r="C3" s="12" t="s">
        <v>16</v>
      </c>
      <c r="D3" s="276">
        <v>69683999.830912694</v>
      </c>
      <c r="E3" s="53"/>
      <c r="G3" s="48"/>
      <c r="H3" s="49"/>
      <c r="I3" s="49"/>
      <c r="J3" s="49"/>
      <c r="K3" s="49"/>
      <c r="L3" s="49"/>
      <c r="M3" s="140"/>
      <c r="O3" s="15" t="s">
        <v>46</v>
      </c>
      <c r="P3" s="15" t="s">
        <v>40</v>
      </c>
      <c r="Q3" s="15" t="s">
        <v>45</v>
      </c>
      <c r="R3" s="15" t="s">
        <v>69</v>
      </c>
      <c r="S3" s="14" t="s">
        <v>170</v>
      </c>
    </row>
    <row r="4" spans="2:19" ht="13.5" thickBot="1">
      <c r="B4" s="48"/>
      <c r="C4" s="16" t="s">
        <v>71</v>
      </c>
      <c r="D4" s="17">
        <f>D3-((Militar!E7+Militar!E9+Militar!E10)*10+(Militar!E8)*5+(Militar!D14)*20000+(Militar!D15+Militar!D17)*10000+(Militar!D16)*5000+(Militar!D18)*2500+('Instalaciones Militares'!E11)*10)</f>
        <v>60428999.830912694</v>
      </c>
      <c r="E4" s="53"/>
      <c r="G4" s="48"/>
      <c r="H4" s="18" t="s">
        <v>70</v>
      </c>
      <c r="I4" s="19"/>
      <c r="J4" s="20" t="s">
        <v>68</v>
      </c>
      <c r="K4" s="49"/>
      <c r="L4" s="49"/>
      <c r="M4" s="140"/>
      <c r="N4" s="14" t="s">
        <v>62</v>
      </c>
      <c r="O4" s="21">
        <v>1.25E-4</v>
      </c>
      <c r="P4" s="21">
        <v>3.3333333333333332E-4</v>
      </c>
      <c r="Q4" s="21">
        <v>1E-4</v>
      </c>
      <c r="R4" s="21">
        <v>2.5000000000000001E-3</v>
      </c>
    </row>
    <row r="5" spans="2:19" ht="13.5" thickBot="1">
      <c r="B5" s="48"/>
      <c r="C5" s="22"/>
      <c r="D5" s="275">
        <v>8</v>
      </c>
      <c r="E5" s="53"/>
      <c r="G5" s="48"/>
      <c r="H5" s="49"/>
      <c r="I5" s="49"/>
      <c r="J5" s="49"/>
      <c r="K5" s="49"/>
      <c r="L5" s="49"/>
      <c r="M5" s="140"/>
      <c r="N5" s="14" t="s">
        <v>63</v>
      </c>
      <c r="O5" s="21">
        <v>1.3333333333333334E-4</v>
      </c>
      <c r="P5" s="21">
        <v>3.6363636363636361E-4</v>
      </c>
      <c r="Q5" s="21">
        <v>1E-4</v>
      </c>
      <c r="R5" s="21">
        <v>5.0000000000000001E-3</v>
      </c>
    </row>
    <row r="6" spans="2:19">
      <c r="B6" s="48"/>
      <c r="C6" s="16" t="s">
        <v>17</v>
      </c>
      <c r="D6" s="17">
        <f>((VLOOKUP(J4,N4:R10,5,0)*D4/1000)*1.02)+D5+D8</f>
        <v>896.1073276716678</v>
      </c>
      <c r="E6" s="53"/>
      <c r="G6" s="48"/>
      <c r="H6" s="12" t="s">
        <v>20</v>
      </c>
      <c r="I6" s="13">
        <f>Importación!D21</f>
        <v>24</v>
      </c>
      <c r="J6" s="49"/>
      <c r="K6" s="12" t="s">
        <v>29</v>
      </c>
      <c r="L6" s="13">
        <f>D9+I7</f>
        <v>992.1073276716678</v>
      </c>
      <c r="M6" s="140"/>
      <c r="N6" s="14" t="s">
        <v>64</v>
      </c>
      <c r="O6" s="21">
        <v>1.4285714285714287E-4</v>
      </c>
      <c r="P6" s="21">
        <v>3.6363636363636361E-4</v>
      </c>
      <c r="Q6" s="21">
        <v>1.1111111111111112E-4</v>
      </c>
      <c r="R6" s="21">
        <v>6.4999999999999997E-3</v>
      </c>
    </row>
    <row r="7" spans="2:19">
      <c r="B7" s="48"/>
      <c r="C7" s="16" t="s">
        <v>18</v>
      </c>
      <c r="D7" s="17">
        <v>48</v>
      </c>
      <c r="E7" s="53"/>
      <c r="G7" s="48"/>
      <c r="H7" s="16" t="s">
        <v>21</v>
      </c>
      <c r="I7" s="17">
        <f>Exportación!D21</f>
        <v>48</v>
      </c>
      <c r="J7" s="49"/>
      <c r="K7" s="16" t="s">
        <v>30</v>
      </c>
      <c r="L7" s="17">
        <f ca="1">D22+I6</f>
        <v>729.05</v>
      </c>
      <c r="M7" s="140"/>
      <c r="N7" s="14" t="s">
        <v>65</v>
      </c>
      <c r="O7" s="21">
        <v>1.6666666666666666E-4</v>
      </c>
      <c r="P7" s="21">
        <v>4.0000000000000002E-4</v>
      </c>
      <c r="Q7" s="21">
        <v>1.4285714285714287E-4</v>
      </c>
      <c r="R7" s="21">
        <v>8.0000000000000002E-3</v>
      </c>
    </row>
    <row r="8" spans="2:19">
      <c r="B8" s="48"/>
      <c r="C8" s="22"/>
      <c r="D8" s="275">
        <v>56</v>
      </c>
      <c r="E8" s="53"/>
      <c r="G8" s="48"/>
      <c r="H8" s="22"/>
      <c r="I8" s="23"/>
      <c r="J8" s="49"/>
      <c r="K8" s="22"/>
      <c r="L8" s="23"/>
      <c r="M8" s="140"/>
      <c r="N8" s="14" t="s">
        <v>66</v>
      </c>
      <c r="O8" s="21">
        <v>1.8181818181818181E-4</v>
      </c>
      <c r="P8" s="21">
        <v>4.4444444444444447E-4</v>
      </c>
      <c r="Q8" s="21">
        <v>1.6666666666666666E-4</v>
      </c>
      <c r="R8" s="21">
        <v>9.4999999999999998E-3</v>
      </c>
    </row>
    <row r="9" spans="2:19" ht="13.5" thickBot="1">
      <c r="B9" s="48"/>
      <c r="C9" s="24" t="s">
        <v>19</v>
      </c>
      <c r="D9" s="25">
        <f>D6+D7</f>
        <v>944.1073276716678</v>
      </c>
      <c r="E9" s="53"/>
      <c r="G9" s="48"/>
      <c r="H9" s="24" t="s">
        <v>22</v>
      </c>
      <c r="I9" s="25">
        <f>I7-I6</f>
        <v>24</v>
      </c>
      <c r="J9" s="49"/>
      <c r="K9" s="24" t="s">
        <v>28</v>
      </c>
      <c r="L9" s="25">
        <f ca="1">L6-L7</f>
        <v>263.05732767166785</v>
      </c>
      <c r="M9" s="140"/>
      <c r="N9" s="14" t="s">
        <v>67</v>
      </c>
      <c r="O9" s="21">
        <v>2.0000000000000001E-4</v>
      </c>
      <c r="P9" s="21">
        <v>4.4444444444444447E-4</v>
      </c>
      <c r="Q9" s="21">
        <v>2.0000000000000001E-4</v>
      </c>
      <c r="R9" s="21">
        <v>1.15E-2</v>
      </c>
    </row>
    <row r="10" spans="2:19">
      <c r="B10" s="48"/>
      <c r="C10" s="49"/>
      <c r="D10" s="49"/>
      <c r="E10" s="53"/>
      <c r="G10" s="48"/>
      <c r="H10" s="49"/>
      <c r="I10" s="49"/>
      <c r="J10" s="49"/>
      <c r="K10" s="49"/>
      <c r="L10" s="49"/>
      <c r="M10" s="140"/>
      <c r="N10" s="14" t="s">
        <v>68</v>
      </c>
      <c r="O10" s="21">
        <v>2.2222222222222223E-4</v>
      </c>
      <c r="P10" s="21">
        <v>5.0000000000000001E-4</v>
      </c>
      <c r="Q10" s="21">
        <v>2.0000000000000001E-4</v>
      </c>
      <c r="R10" s="21">
        <v>1.35E-2</v>
      </c>
    </row>
    <row r="11" spans="2:19" ht="13.5" thickBot="1">
      <c r="B11" s="48"/>
      <c r="C11" s="49"/>
      <c r="D11" s="49"/>
      <c r="E11" s="53"/>
      <c r="G11" s="59"/>
      <c r="H11" s="60"/>
      <c r="I11" s="60"/>
      <c r="J11" s="60"/>
      <c r="K11" s="60"/>
      <c r="L11" s="60"/>
      <c r="M11" s="141"/>
    </row>
    <row r="12" spans="2:19">
      <c r="B12" s="48"/>
      <c r="C12" s="12" t="s">
        <v>23</v>
      </c>
      <c r="D12" s="13"/>
      <c r="E12" s="53"/>
    </row>
    <row r="13" spans="2:19">
      <c r="B13" s="48"/>
      <c r="C13" s="26" t="s">
        <v>25</v>
      </c>
      <c r="D13" s="27">
        <f>Militar!H11+Militar!H33+'Instalaciones Militares'!F6+'Instalaciones Militares'!F7</f>
        <v>82.25</v>
      </c>
      <c r="E13" s="53"/>
    </row>
    <row r="14" spans="2:19">
      <c r="B14" s="48"/>
      <c r="C14" s="26" t="s">
        <v>24</v>
      </c>
      <c r="D14" s="27">
        <f>Militar!H19+Militar!H41+'Instalaciones Militares'!F8+'Instalaciones Militares'!F9+'Instalaciones Militares'!F10</f>
        <v>99.8</v>
      </c>
      <c r="E14" s="53"/>
    </row>
    <row r="15" spans="2:19">
      <c r="B15" s="48"/>
      <c r="C15" s="26" t="s">
        <v>227</v>
      </c>
      <c r="D15" s="27">
        <f ca="1">Transporte!N7+Militar!T26+Militar!T51-(Industria!I11*Importación!N2*1.25)-(Industria!F11*Importación!E2*1.25)-(Industria!H11*Importación!K2*1.5)</f>
        <v>0</v>
      </c>
      <c r="E15" s="53"/>
    </row>
    <row r="16" spans="2:19">
      <c r="B16" s="48"/>
      <c r="C16" s="26" t="s">
        <v>171</v>
      </c>
      <c r="D16" s="28">
        <f>Industria!E15*6</f>
        <v>0</v>
      </c>
      <c r="E16" s="53"/>
      <c r="H16" s="29"/>
    </row>
    <row r="17" spans="2:5">
      <c r="B17" s="48"/>
      <c r="C17" s="26" t="s">
        <v>26</v>
      </c>
      <c r="D17" s="27">
        <f>Investigación!F16+Investigación!F35</f>
        <v>128</v>
      </c>
      <c r="E17" s="53"/>
    </row>
    <row r="18" spans="2:5">
      <c r="B18" s="48"/>
      <c r="C18" s="26" t="s">
        <v>172</v>
      </c>
      <c r="D18" s="27">
        <f>'Instalaciones Militares'!F21</f>
        <v>0</v>
      </c>
      <c r="E18" s="53"/>
    </row>
    <row r="19" spans="2:5">
      <c r="B19" s="48"/>
      <c r="C19" s="26" t="s">
        <v>27</v>
      </c>
      <c r="D19" s="27">
        <f>Inversiones!L51</f>
        <v>395</v>
      </c>
      <c r="E19" s="53"/>
    </row>
    <row r="20" spans="2:5">
      <c r="B20" s="48"/>
      <c r="C20" s="26" t="s">
        <v>228</v>
      </c>
      <c r="D20" s="221"/>
      <c r="E20" s="53"/>
    </row>
    <row r="21" spans="2:5">
      <c r="B21" s="48"/>
      <c r="C21" s="30"/>
      <c r="D21" s="31"/>
      <c r="E21" s="53"/>
    </row>
    <row r="22" spans="2:5" ht="13.5" thickBot="1">
      <c r="B22" s="48"/>
      <c r="C22" s="32" t="s">
        <v>162</v>
      </c>
      <c r="D22" s="33">
        <f ca="1">SUM(D13:D20)</f>
        <v>705.05</v>
      </c>
      <c r="E22" s="53"/>
    </row>
    <row r="23" spans="2:5" ht="13.5" thickBot="1">
      <c r="B23" s="59"/>
      <c r="C23" s="60"/>
      <c r="D23" s="138"/>
      <c r="E23" s="62"/>
    </row>
    <row r="24" spans="2:5">
      <c r="D24" s="34"/>
    </row>
    <row r="25" spans="2:5">
      <c r="D25" s="34"/>
    </row>
    <row r="26" spans="2:5">
      <c r="D26" s="34"/>
    </row>
    <row r="27" spans="2:5">
      <c r="D27" s="34"/>
    </row>
    <row r="28" spans="2:5">
      <c r="D28" s="34"/>
    </row>
    <row r="29" spans="2:5">
      <c r="D29" s="34"/>
    </row>
  </sheetData>
  <sheetProtection password="CC15" sheet="1" objects="1" scenarios="1" selectLockedCells="1"/>
  <phoneticPr fontId="3" type="noConversion"/>
  <dataValidations disablePrompts="1" count="1">
    <dataValidation type="list" allowBlank="1" showInputMessage="1" showErrorMessage="1" sqref="J4">
      <formula1>$N$4:$N$10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D21"/>
  <sheetViews>
    <sheetView showGridLines="0" workbookViewId="0">
      <selection activeCell="S7" sqref="S7:T15"/>
    </sheetView>
  </sheetViews>
  <sheetFormatPr baseColWidth="10" defaultRowHeight="12.75"/>
  <cols>
    <col min="1" max="1" width="2.7109375" style="1" customWidth="1"/>
    <col min="2" max="2" width="18.140625" style="1" bestFit="1" customWidth="1"/>
    <col min="3" max="3" width="2.7109375" style="1" customWidth="1"/>
    <col min="4" max="4" width="8" style="1" bestFit="1" customWidth="1"/>
    <col min="5" max="5" width="10.28515625" style="1" bestFit="1" customWidth="1"/>
    <col min="6" max="6" width="2.7109375" style="1" customWidth="1"/>
    <col min="7" max="7" width="6.7109375" style="1" bestFit="1" customWidth="1"/>
    <col min="8" max="8" width="10.28515625" style="1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1" customWidth="1"/>
    <col min="13" max="13" width="7.5703125" style="1" bestFit="1" customWidth="1"/>
    <col min="14" max="14" width="10.28515625" style="1" bestFit="1" customWidth="1"/>
    <col min="15" max="15" width="2.7109375" style="1" customWidth="1"/>
    <col min="16" max="16" width="6.5703125" style="1" bestFit="1" customWidth="1"/>
    <col min="17" max="17" width="10.28515625" style="1" bestFit="1" customWidth="1"/>
    <col min="18" max="18" width="2.7109375" style="1" customWidth="1"/>
    <col min="19" max="19" width="8.5703125" style="1" bestFit="1" customWidth="1"/>
    <col min="20" max="20" width="10.28515625" style="1" bestFit="1" customWidth="1"/>
    <col min="21" max="21" width="2.7109375" style="1" customWidth="1"/>
    <col min="22" max="22" width="7.140625" style="1" bestFit="1" customWidth="1"/>
    <col min="23" max="23" width="10.28515625" style="1" bestFit="1" customWidth="1"/>
    <col min="24" max="24" width="2.7109375" style="1" customWidth="1"/>
    <col min="25" max="25" width="8.5703125" style="1" bestFit="1" customWidth="1"/>
    <col min="26" max="26" width="10.28515625" style="1" bestFit="1" customWidth="1"/>
    <col min="27" max="27" width="2.7109375" style="1" customWidth="1"/>
    <col min="28" max="28" width="6.7109375" style="1" bestFit="1" customWidth="1"/>
    <col min="29" max="29" width="10.28515625" style="1" bestFit="1" customWidth="1"/>
    <col min="30" max="16384" width="11.42578125" style="1"/>
  </cols>
  <sheetData>
    <row r="1" spans="1:30" ht="13.5" thickBot="1">
      <c r="A1" s="6"/>
      <c r="B1" s="6"/>
      <c r="C1" s="6"/>
      <c r="D1" s="6"/>
      <c r="E1" s="6"/>
      <c r="F1" s="6"/>
      <c r="G1" s="6"/>
      <c r="H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3.5" thickBot="1">
      <c r="A2" s="6"/>
      <c r="B2" s="35" t="s">
        <v>41</v>
      </c>
      <c r="C2" s="6"/>
      <c r="D2" s="36" t="s">
        <v>40</v>
      </c>
      <c r="E2" s="8">
        <v>10</v>
      </c>
      <c r="F2" s="6"/>
      <c r="G2" s="36" t="s">
        <v>42</v>
      </c>
      <c r="H2" s="8">
        <v>10</v>
      </c>
      <c r="I2" s="9"/>
      <c r="J2" s="36" t="s">
        <v>253</v>
      </c>
      <c r="K2" s="8">
        <v>10</v>
      </c>
      <c r="L2" s="6"/>
      <c r="M2" s="36" t="s">
        <v>43</v>
      </c>
      <c r="N2" s="8">
        <v>10</v>
      </c>
      <c r="O2" s="6"/>
      <c r="P2" s="36" t="s">
        <v>44</v>
      </c>
      <c r="Q2" s="8">
        <v>10</v>
      </c>
      <c r="R2" s="6"/>
      <c r="S2" s="36" t="s">
        <v>45</v>
      </c>
      <c r="T2" s="8">
        <v>10</v>
      </c>
      <c r="U2" s="6"/>
      <c r="V2" s="36" t="s">
        <v>46</v>
      </c>
      <c r="W2" s="8">
        <v>20</v>
      </c>
      <c r="X2" s="6"/>
      <c r="Y2" s="36" t="s">
        <v>0</v>
      </c>
      <c r="Z2" s="223"/>
      <c r="AA2" s="6"/>
      <c r="AB2" s="36" t="s">
        <v>48</v>
      </c>
      <c r="AC2" s="223"/>
      <c r="AD2" s="6"/>
    </row>
    <row r="3" spans="1:30" ht="13.5" thickBot="1">
      <c r="A3" s="6"/>
      <c r="B3" s="6"/>
      <c r="C3" s="6"/>
      <c r="D3" s="6"/>
      <c r="E3" s="6"/>
      <c r="F3" s="6"/>
      <c r="G3" s="6"/>
      <c r="H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3.5" thickBot="1">
      <c r="A4" s="6"/>
      <c r="B4" s="6"/>
      <c r="C4" s="6"/>
      <c r="D4" s="37" t="s">
        <v>60</v>
      </c>
      <c r="E4" s="38" t="s">
        <v>47</v>
      </c>
      <c r="F4" s="6"/>
      <c r="G4" s="37" t="s">
        <v>60</v>
      </c>
      <c r="H4" s="38" t="s">
        <v>47</v>
      </c>
      <c r="I4" s="261"/>
      <c r="J4" s="37" t="s">
        <v>60</v>
      </c>
      <c r="K4" s="38" t="s">
        <v>47</v>
      </c>
      <c r="L4" s="6"/>
      <c r="M4" s="37" t="s">
        <v>60</v>
      </c>
      <c r="N4" s="38" t="s">
        <v>47</v>
      </c>
      <c r="O4" s="6"/>
      <c r="P4" s="37" t="s">
        <v>60</v>
      </c>
      <c r="Q4" s="38" t="s">
        <v>47</v>
      </c>
      <c r="R4" s="6"/>
      <c r="S4" s="37" t="s">
        <v>60</v>
      </c>
      <c r="T4" s="38" t="s">
        <v>47</v>
      </c>
      <c r="U4" s="6"/>
      <c r="V4" s="37" t="s">
        <v>60</v>
      </c>
      <c r="W4" s="38" t="s">
        <v>47</v>
      </c>
      <c r="X4" s="6"/>
      <c r="Y4" s="37" t="s">
        <v>60</v>
      </c>
      <c r="Z4" s="38" t="s">
        <v>47</v>
      </c>
      <c r="AA4" s="6"/>
      <c r="AB4" s="37" t="s">
        <v>60</v>
      </c>
      <c r="AC4" s="38" t="s">
        <v>47</v>
      </c>
      <c r="AD4" s="6"/>
    </row>
    <row r="5" spans="1:30">
      <c r="A5" s="6"/>
      <c r="B5" s="39" t="s">
        <v>31</v>
      </c>
      <c r="C5" s="6"/>
      <c r="D5" s="2"/>
      <c r="E5" s="3"/>
      <c r="F5" s="6"/>
      <c r="G5" s="2"/>
      <c r="H5" s="3"/>
      <c r="I5" s="259"/>
      <c r="J5" s="2"/>
      <c r="K5" s="3"/>
      <c r="L5" s="6"/>
      <c r="M5" s="2"/>
      <c r="N5" s="3"/>
      <c r="O5" s="6"/>
      <c r="P5" s="2"/>
      <c r="Q5" s="3"/>
      <c r="R5" s="6"/>
      <c r="S5" s="2"/>
      <c r="T5" s="3"/>
      <c r="U5" s="6"/>
      <c r="V5" s="2"/>
      <c r="W5" s="3"/>
      <c r="X5" s="6"/>
      <c r="Y5" s="2"/>
      <c r="Z5" s="222"/>
      <c r="AA5" s="6"/>
      <c r="AB5" s="2"/>
      <c r="AC5" s="3"/>
      <c r="AD5" s="6"/>
    </row>
    <row r="6" spans="1:30">
      <c r="A6" s="6"/>
      <c r="B6" s="40" t="s">
        <v>32</v>
      </c>
      <c r="C6" s="6"/>
      <c r="D6" s="2"/>
      <c r="E6" s="3"/>
      <c r="F6" s="6"/>
      <c r="G6" s="2"/>
      <c r="H6" s="3"/>
      <c r="I6" s="259"/>
      <c r="J6" s="2"/>
      <c r="K6" s="3"/>
      <c r="L6" s="6"/>
      <c r="M6" s="2"/>
      <c r="N6" s="3"/>
      <c r="O6" s="6"/>
      <c r="P6" s="2"/>
      <c r="Q6" s="3"/>
      <c r="R6" s="6"/>
      <c r="S6" s="2"/>
      <c r="T6" s="3"/>
      <c r="U6" s="6"/>
      <c r="V6" s="2"/>
      <c r="W6" s="3"/>
      <c r="X6" s="6"/>
      <c r="Y6" s="2"/>
      <c r="Z6" s="3"/>
      <c r="AA6" s="6"/>
      <c r="AB6" s="2"/>
      <c r="AC6" s="3"/>
      <c r="AD6" s="6"/>
    </row>
    <row r="7" spans="1:30">
      <c r="A7" s="6"/>
      <c r="B7" s="40" t="s">
        <v>251</v>
      </c>
      <c r="C7" s="6"/>
      <c r="D7" s="2"/>
      <c r="E7" s="3"/>
      <c r="F7" s="6"/>
      <c r="G7" s="2"/>
      <c r="H7" s="3"/>
      <c r="I7" s="259"/>
      <c r="J7" s="2"/>
      <c r="K7" s="3"/>
      <c r="L7" s="6"/>
      <c r="M7" s="2"/>
      <c r="N7" s="3"/>
      <c r="O7" s="6"/>
      <c r="P7" s="2"/>
      <c r="Q7" s="3"/>
      <c r="R7" s="6"/>
      <c r="S7" s="2"/>
      <c r="T7" s="3"/>
      <c r="U7" s="6"/>
      <c r="V7" s="2"/>
      <c r="W7" s="3"/>
      <c r="X7" s="6"/>
      <c r="Y7" s="2"/>
      <c r="Z7" s="3"/>
      <c r="AA7" s="6"/>
      <c r="AB7" s="2"/>
      <c r="AC7" s="3"/>
      <c r="AD7" s="6"/>
    </row>
    <row r="8" spans="1:30">
      <c r="A8" s="6"/>
      <c r="B8" s="40" t="s">
        <v>252</v>
      </c>
      <c r="C8" s="6"/>
      <c r="D8" s="2"/>
      <c r="E8" s="3"/>
      <c r="F8" s="6"/>
      <c r="G8" s="2"/>
      <c r="H8" s="3"/>
      <c r="I8" s="259"/>
      <c r="J8" s="2"/>
      <c r="K8" s="3"/>
      <c r="L8" s="6"/>
      <c r="M8" s="2"/>
      <c r="N8" s="3"/>
      <c r="O8" s="6"/>
      <c r="P8" s="2"/>
      <c r="Q8" s="3"/>
      <c r="R8" s="6"/>
      <c r="S8" s="2"/>
      <c r="T8" s="3"/>
      <c r="U8" s="6"/>
      <c r="V8" s="2"/>
      <c r="W8" s="3"/>
      <c r="X8" s="6"/>
      <c r="Y8" s="2"/>
      <c r="Z8" s="3"/>
      <c r="AA8" s="6"/>
      <c r="AB8" s="2"/>
      <c r="AC8" s="3"/>
      <c r="AD8" s="6"/>
    </row>
    <row r="9" spans="1:30">
      <c r="A9" s="6"/>
      <c r="B9" s="40" t="s">
        <v>33</v>
      </c>
      <c r="C9" s="6"/>
      <c r="D9" s="2"/>
      <c r="E9" s="3"/>
      <c r="F9" s="6"/>
      <c r="G9" s="2"/>
      <c r="H9" s="3"/>
      <c r="I9" s="259"/>
      <c r="J9" s="2"/>
      <c r="K9" s="3"/>
      <c r="L9" s="6"/>
      <c r="M9" s="2"/>
      <c r="N9" s="3"/>
      <c r="O9" s="6"/>
      <c r="P9" s="2"/>
      <c r="Q9" s="3"/>
      <c r="R9" s="6"/>
      <c r="S9" s="2"/>
      <c r="T9" s="3"/>
      <c r="U9" s="6"/>
      <c r="V9" s="2"/>
      <c r="W9" s="3"/>
      <c r="X9" s="6"/>
      <c r="Y9" s="2"/>
      <c r="Z9" s="3"/>
      <c r="AA9" s="6"/>
      <c r="AB9" s="2"/>
      <c r="AC9" s="3"/>
      <c r="AD9" s="6"/>
    </row>
    <row r="10" spans="1:30">
      <c r="A10" s="6"/>
      <c r="B10" s="40" t="s">
        <v>34</v>
      </c>
      <c r="C10" s="6"/>
      <c r="D10" s="2"/>
      <c r="E10" s="3"/>
      <c r="F10" s="6"/>
      <c r="G10" s="2"/>
      <c r="H10" s="3"/>
      <c r="I10" s="259"/>
      <c r="J10" s="2"/>
      <c r="K10" s="3"/>
      <c r="L10" s="6"/>
      <c r="M10" s="2"/>
      <c r="N10" s="3"/>
      <c r="O10" s="6"/>
      <c r="P10" s="2"/>
      <c r="Q10" s="3"/>
      <c r="R10" s="6"/>
      <c r="S10" s="2"/>
      <c r="T10" s="3"/>
      <c r="U10" s="6"/>
      <c r="V10" s="2"/>
      <c r="W10" s="3"/>
      <c r="X10" s="6"/>
      <c r="Y10" s="2"/>
      <c r="Z10" s="3"/>
      <c r="AA10" s="6"/>
      <c r="AB10" s="2"/>
      <c r="AC10" s="3"/>
      <c r="AD10" s="6"/>
    </row>
    <row r="11" spans="1:30">
      <c r="A11" s="6"/>
      <c r="B11" s="40" t="s">
        <v>35</v>
      </c>
      <c r="C11" s="6"/>
      <c r="D11" s="2"/>
      <c r="E11" s="3"/>
      <c r="F11" s="6"/>
      <c r="G11" s="2"/>
      <c r="H11" s="3"/>
      <c r="I11" s="259"/>
      <c r="J11" s="2"/>
      <c r="K11" s="3"/>
      <c r="L11" s="6"/>
      <c r="M11" s="2"/>
      <c r="N11" s="3"/>
      <c r="O11" s="6"/>
      <c r="P11" s="2"/>
      <c r="Q11" s="3"/>
      <c r="R11" s="6"/>
      <c r="S11" s="2"/>
      <c r="T11" s="3"/>
      <c r="U11" s="6"/>
      <c r="V11" s="2"/>
      <c r="W11" s="3"/>
      <c r="X11" s="6"/>
      <c r="Y11" s="2"/>
      <c r="Z11" s="3"/>
      <c r="AA11" s="6"/>
      <c r="AB11" s="2"/>
      <c r="AC11" s="3"/>
      <c r="AD11" s="6"/>
    </row>
    <row r="12" spans="1:30">
      <c r="A12" s="6"/>
      <c r="B12" s="40" t="s">
        <v>36</v>
      </c>
      <c r="C12" s="6"/>
      <c r="D12" s="2"/>
      <c r="E12" s="3"/>
      <c r="F12" s="6"/>
      <c r="G12" s="2"/>
      <c r="H12" s="3"/>
      <c r="I12" s="259"/>
      <c r="J12" s="2"/>
      <c r="K12" s="3"/>
      <c r="L12" s="6"/>
      <c r="M12" s="2"/>
      <c r="N12" s="3"/>
      <c r="O12" s="6"/>
      <c r="P12" s="2"/>
      <c r="Q12" s="3"/>
      <c r="R12" s="6"/>
      <c r="S12" s="2"/>
      <c r="T12" s="3"/>
      <c r="U12" s="6"/>
      <c r="V12" s="2"/>
      <c r="W12" s="3"/>
      <c r="X12" s="6"/>
      <c r="Y12" s="2"/>
      <c r="Z12" s="3"/>
      <c r="AA12" s="6"/>
      <c r="AB12" s="2"/>
      <c r="AC12" s="3"/>
      <c r="AD12" s="6"/>
    </row>
    <row r="13" spans="1:30">
      <c r="A13" s="6"/>
      <c r="B13" s="40" t="s">
        <v>37</v>
      </c>
      <c r="C13" s="6"/>
      <c r="D13" s="2"/>
      <c r="E13" s="3"/>
      <c r="F13" s="6"/>
      <c r="G13" s="2"/>
      <c r="H13" s="3"/>
      <c r="I13" s="259"/>
      <c r="J13" s="2"/>
      <c r="K13" s="3"/>
      <c r="L13" s="6"/>
      <c r="M13" s="2"/>
      <c r="N13" s="3"/>
      <c r="O13" s="6"/>
      <c r="P13" s="2"/>
      <c r="Q13" s="3"/>
      <c r="R13" s="6"/>
      <c r="S13" s="2"/>
      <c r="T13" s="3"/>
      <c r="U13" s="6"/>
      <c r="V13" s="2"/>
      <c r="W13" s="3"/>
      <c r="X13" s="6"/>
      <c r="Y13" s="2"/>
      <c r="Z13" s="3"/>
      <c r="AA13" s="6"/>
      <c r="AB13" s="2"/>
      <c r="AC13" s="3"/>
      <c r="AD13" s="6"/>
    </row>
    <row r="14" spans="1:30">
      <c r="A14" s="6"/>
      <c r="B14" s="40" t="s">
        <v>229</v>
      </c>
      <c r="C14" s="6"/>
      <c r="D14" s="2"/>
      <c r="E14" s="3"/>
      <c r="F14" s="6"/>
      <c r="G14" s="2"/>
      <c r="H14" s="3"/>
      <c r="I14" s="259"/>
      <c r="J14" s="2"/>
      <c r="K14" s="3"/>
      <c r="L14" s="6"/>
      <c r="M14" s="2"/>
      <c r="N14" s="3"/>
      <c r="O14" s="6"/>
      <c r="P14" s="2"/>
      <c r="Q14" s="3"/>
      <c r="R14" s="6"/>
      <c r="S14" s="2"/>
      <c r="T14" s="3"/>
      <c r="U14" s="6"/>
      <c r="V14" s="2"/>
      <c r="W14" s="3"/>
      <c r="X14" s="6"/>
      <c r="Y14" s="2"/>
      <c r="Z14" s="3"/>
      <c r="AA14" s="6"/>
      <c r="AB14" s="2"/>
      <c r="AC14" s="3"/>
      <c r="AD14" s="6"/>
    </row>
    <row r="15" spans="1:30">
      <c r="A15" s="6"/>
      <c r="B15" s="40" t="s">
        <v>38</v>
      </c>
      <c r="C15" s="6"/>
      <c r="D15" s="2"/>
      <c r="E15" s="3"/>
      <c r="F15" s="6"/>
      <c r="G15" s="2"/>
      <c r="H15" s="3"/>
      <c r="I15" s="259"/>
      <c r="J15" s="2"/>
      <c r="K15" s="3"/>
      <c r="L15" s="6"/>
      <c r="M15" s="2"/>
      <c r="N15" s="3"/>
      <c r="O15" s="6"/>
      <c r="P15" s="2"/>
      <c r="Q15" s="3"/>
      <c r="R15" s="6"/>
      <c r="S15" s="2"/>
      <c r="T15" s="3"/>
      <c r="U15" s="6"/>
      <c r="V15" s="2"/>
      <c r="W15" s="3"/>
      <c r="X15" s="6"/>
      <c r="Y15" s="2"/>
      <c r="Z15" s="3"/>
      <c r="AA15" s="6"/>
      <c r="AB15" s="2"/>
      <c r="AC15" s="3"/>
      <c r="AD15" s="6"/>
    </row>
    <row r="16" spans="1:30" ht="13.5" thickBot="1">
      <c r="A16" s="6"/>
      <c r="B16" s="41" t="s">
        <v>39</v>
      </c>
      <c r="C16" s="6"/>
      <c r="D16" s="225"/>
      <c r="E16" s="5"/>
      <c r="F16" s="6"/>
      <c r="G16" s="225"/>
      <c r="H16" s="5"/>
      <c r="I16" s="259"/>
      <c r="J16" s="225"/>
      <c r="K16" s="5"/>
      <c r="L16" s="6"/>
      <c r="M16" s="225"/>
      <c r="N16" s="5"/>
      <c r="O16" s="6"/>
      <c r="P16" s="225"/>
      <c r="Q16" s="5"/>
      <c r="R16" s="6"/>
      <c r="S16" s="225">
        <v>3</v>
      </c>
      <c r="T16" s="5"/>
      <c r="U16" s="6"/>
      <c r="V16" s="225"/>
      <c r="W16" s="5"/>
      <c r="X16" s="6"/>
      <c r="Y16" s="224"/>
      <c r="Z16" s="5"/>
      <c r="AA16" s="6"/>
      <c r="AB16" s="4"/>
      <c r="AC16" s="5"/>
      <c r="AD16" s="6"/>
    </row>
    <row r="17" spans="1:30" ht="13.5" thickBot="1">
      <c r="A17" s="6"/>
      <c r="B17" s="9"/>
      <c r="C17" s="6"/>
      <c r="D17" s="9"/>
      <c r="E17" s="9"/>
      <c r="F17" s="6"/>
      <c r="G17" s="9"/>
      <c r="H17" s="9"/>
      <c r="I17" s="9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9"/>
      <c r="W17" s="9"/>
      <c r="X17" s="6"/>
      <c r="Y17" s="9"/>
      <c r="Z17" s="9"/>
      <c r="AA17" s="6"/>
      <c r="AB17" s="9"/>
      <c r="AC17" s="9"/>
      <c r="AD17" s="6"/>
    </row>
    <row r="18" spans="1:30" ht="13.5" thickBot="1">
      <c r="A18" s="6"/>
      <c r="B18" s="42" t="s">
        <v>1</v>
      </c>
      <c r="C18" s="6"/>
      <c r="D18" s="10">
        <f>SUM(D5:D16)</f>
        <v>0</v>
      </c>
      <c r="E18" s="8">
        <f>SUM(D5:D14)*E2+(D16*E2)*4/5+(D15*E2)*6/5+SUM(E5:E16)</f>
        <v>0</v>
      </c>
      <c r="F18" s="6"/>
      <c r="G18" s="10">
        <f>SUM(G5:G16)</f>
        <v>0</v>
      </c>
      <c r="H18" s="8">
        <f>SUM(G5:G14)*H2+(G16*H2)*4/5+(G15*H2)*6/5+SUM(H5:H16)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L18" s="6"/>
      <c r="M18" s="10">
        <f>SUM(M5:M16)</f>
        <v>0</v>
      </c>
      <c r="N18" s="8">
        <f>SUM(M5:M14)*N2+(M16*N2)*4/5+(M15*N2)*6/5+SUM(N5:N16)</f>
        <v>0</v>
      </c>
      <c r="O18" s="6"/>
      <c r="P18" s="10">
        <f>SUM(P5:P16)</f>
        <v>0</v>
      </c>
      <c r="Q18" s="8">
        <f>SUM(P5:P14)*Q2+(P16*Q2)*4/5+(P15*Q2)*6/5+SUM(Q5:Q16)</f>
        <v>0</v>
      </c>
      <c r="R18" s="6"/>
      <c r="S18" s="10">
        <f>SUM(S5:S16)</f>
        <v>3</v>
      </c>
      <c r="T18" s="8">
        <f>SUM(S5:S14)*T2+(S16*T2)*4/5+(S15*T2)*6/5+SUM(T5:T16)</f>
        <v>24</v>
      </c>
      <c r="U18" s="6"/>
      <c r="V18" s="10">
        <f>SUM(V5:V16)</f>
        <v>0</v>
      </c>
      <c r="W18" s="8">
        <f>SUM(V5:V14)*W2+(V16*W2)*4/5+(V15*W2)*6/5+SUM(W5:W16)</f>
        <v>0</v>
      </c>
      <c r="X18" s="6"/>
      <c r="Y18" s="10">
        <f>SUM(Y5:Y16)</f>
        <v>0</v>
      </c>
      <c r="Z18" s="8">
        <f>SUM(Y5:Y14)*Z2+(Y16*Z2)*4/5+(Y15*Z2)*5/4+SUM(Z5:Z14)</f>
        <v>0</v>
      </c>
      <c r="AA18" s="6"/>
      <c r="AB18" s="10">
        <f>SUM(AB5:AB16)</f>
        <v>0</v>
      </c>
      <c r="AC18" s="8">
        <f>SUM(AB5:AB14)*AC2+(AB16*AC2)*4/5+(AB15*AC2)*5/4+SUM(AC5:AC14)</f>
        <v>0</v>
      </c>
      <c r="AD18" s="6"/>
    </row>
    <row r="19" spans="1:30">
      <c r="A19" s="6"/>
      <c r="B19" s="9"/>
      <c r="C19" s="6"/>
      <c r="D19" s="9"/>
      <c r="E19" s="9"/>
      <c r="F19" s="6"/>
      <c r="G19" s="9"/>
      <c r="H19" s="9"/>
      <c r="I19" s="9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9"/>
      <c r="W19" s="9"/>
      <c r="X19" s="6"/>
      <c r="Y19" s="9"/>
      <c r="Z19" s="9"/>
      <c r="AA19" s="6"/>
      <c r="AB19" s="9"/>
      <c r="AC19" s="9"/>
      <c r="AD19" s="6"/>
    </row>
    <row r="20" spans="1:30" ht="13.5" thickBot="1">
      <c r="A20" s="6"/>
      <c r="B20" s="6"/>
      <c r="C20" s="6"/>
      <c r="D20" s="6"/>
      <c r="E20" s="6"/>
      <c r="F20" s="6"/>
      <c r="G20" s="6"/>
      <c r="H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ht="13.5" thickBot="1">
      <c r="A21" s="6"/>
      <c r="B21" s="43" t="s">
        <v>61</v>
      </c>
      <c r="C21" s="11"/>
      <c r="D21" s="7">
        <f>E18+H18+K18+N18+Q18+T18+W18+Z18+AC18</f>
        <v>24</v>
      </c>
      <c r="E21" s="6"/>
      <c r="F21" s="6"/>
      <c r="G21" s="6"/>
      <c r="H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B1:AC21"/>
  <sheetViews>
    <sheetView showGridLines="0" workbookViewId="0">
      <selection activeCell="V12" sqref="V12:V14"/>
    </sheetView>
  </sheetViews>
  <sheetFormatPr baseColWidth="10" defaultRowHeight="12.75"/>
  <cols>
    <col min="1" max="1" width="2.7109375" style="6" customWidth="1"/>
    <col min="2" max="2" width="18.42578125" style="6" bestFit="1" customWidth="1"/>
    <col min="3" max="3" width="2.7109375" style="6" customWidth="1"/>
    <col min="4" max="4" width="8" style="6" bestFit="1" customWidth="1"/>
    <col min="5" max="5" width="10.28515625" style="6" bestFit="1" customWidth="1"/>
    <col min="6" max="6" width="2.7109375" style="6" customWidth="1"/>
    <col min="7" max="7" width="6.7109375" style="6" bestFit="1" customWidth="1"/>
    <col min="8" max="8" width="10.28515625" style="6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6" customWidth="1"/>
    <col min="13" max="13" width="7.5703125" style="6" bestFit="1" customWidth="1"/>
    <col min="14" max="14" width="10.28515625" style="6" bestFit="1" customWidth="1"/>
    <col min="15" max="15" width="2.7109375" style="6" customWidth="1"/>
    <col min="16" max="16" width="6.5703125" style="6" bestFit="1" customWidth="1"/>
    <col min="17" max="17" width="10.28515625" style="6" bestFit="1" customWidth="1"/>
    <col min="18" max="18" width="2.7109375" style="6" customWidth="1"/>
    <col min="19" max="19" width="8.5703125" style="6" bestFit="1" customWidth="1"/>
    <col min="20" max="20" width="10.28515625" style="6" bestFit="1" customWidth="1"/>
    <col min="21" max="21" width="2.7109375" style="6" customWidth="1"/>
    <col min="22" max="22" width="7.140625" style="6" bestFit="1" customWidth="1"/>
    <col min="23" max="23" width="10.28515625" style="6" bestFit="1" customWidth="1"/>
    <col min="24" max="24" width="2.7109375" style="6" customWidth="1"/>
    <col min="25" max="25" width="8.5703125" style="6" bestFit="1" customWidth="1"/>
    <col min="26" max="26" width="10.28515625" style="6" bestFit="1" customWidth="1"/>
    <col min="27" max="27" width="2.7109375" style="6" customWidth="1"/>
    <col min="28" max="28" width="6.7109375" style="6" bestFit="1" customWidth="1"/>
    <col min="29" max="29" width="10.28515625" style="6" bestFit="1" customWidth="1"/>
    <col min="30" max="16384" width="11.42578125" style="6"/>
  </cols>
  <sheetData>
    <row r="1" spans="2:29" ht="13.5" thickBot="1"/>
    <row r="2" spans="2:29" ht="13.5" thickBot="1">
      <c r="B2" s="35" t="s">
        <v>41</v>
      </c>
      <c r="D2" s="36" t="s">
        <v>40</v>
      </c>
      <c r="E2" s="8">
        <v>10</v>
      </c>
      <c r="G2" s="36" t="s">
        <v>42</v>
      </c>
      <c r="H2" s="8">
        <v>10</v>
      </c>
      <c r="I2" s="9"/>
      <c r="J2" s="36" t="s">
        <v>253</v>
      </c>
      <c r="K2" s="8">
        <v>10</v>
      </c>
      <c r="M2" s="36" t="s">
        <v>43</v>
      </c>
      <c r="N2" s="8">
        <v>10</v>
      </c>
      <c r="P2" s="36" t="s">
        <v>44</v>
      </c>
      <c r="Q2" s="8">
        <v>10</v>
      </c>
      <c r="S2" s="36" t="s">
        <v>45</v>
      </c>
      <c r="T2" s="8">
        <v>10</v>
      </c>
      <c r="V2" s="36" t="s">
        <v>46</v>
      </c>
      <c r="W2" s="8">
        <v>20</v>
      </c>
      <c r="Y2" s="36" t="s">
        <v>0</v>
      </c>
      <c r="Z2" s="223"/>
      <c r="AB2" s="36" t="s">
        <v>48</v>
      </c>
      <c r="AC2" s="223"/>
    </row>
    <row r="3" spans="2:29" ht="13.5" thickBot="1"/>
    <row r="4" spans="2:29" ht="13.5" thickBot="1">
      <c r="D4" s="37" t="s">
        <v>60</v>
      </c>
      <c r="E4" s="38" t="s">
        <v>47</v>
      </c>
      <c r="G4" s="37" t="s">
        <v>60</v>
      </c>
      <c r="H4" s="38" t="s">
        <v>47</v>
      </c>
      <c r="I4" s="261"/>
      <c r="J4" s="37" t="s">
        <v>60</v>
      </c>
      <c r="K4" s="38" t="s">
        <v>47</v>
      </c>
      <c r="M4" s="37" t="s">
        <v>60</v>
      </c>
      <c r="N4" s="38" t="s">
        <v>47</v>
      </c>
      <c r="P4" s="37" t="s">
        <v>60</v>
      </c>
      <c r="Q4" s="38" t="s">
        <v>47</v>
      </c>
      <c r="S4" s="37" t="s">
        <v>60</v>
      </c>
      <c r="T4" s="38" t="s">
        <v>47</v>
      </c>
      <c r="V4" s="37" t="s">
        <v>60</v>
      </c>
      <c r="W4" s="38" t="s">
        <v>47</v>
      </c>
      <c r="Y4" s="37" t="s">
        <v>60</v>
      </c>
      <c r="Z4" s="38" t="s">
        <v>47</v>
      </c>
      <c r="AB4" s="37" t="s">
        <v>60</v>
      </c>
      <c r="AC4" s="38" t="s">
        <v>47</v>
      </c>
    </row>
    <row r="5" spans="2:29">
      <c r="B5" s="39" t="s">
        <v>31</v>
      </c>
      <c r="D5" s="2"/>
      <c r="E5" s="3"/>
      <c r="G5" s="2"/>
      <c r="H5" s="3"/>
      <c r="I5" s="259"/>
      <c r="J5" s="2"/>
      <c r="K5" s="3"/>
      <c r="M5" s="2"/>
      <c r="N5" s="3"/>
      <c r="P5" s="2"/>
      <c r="Q5" s="3"/>
      <c r="S5" s="2"/>
      <c r="T5" s="3"/>
      <c r="V5" s="2"/>
      <c r="W5" s="3"/>
      <c r="Y5" s="2"/>
      <c r="Z5" s="3"/>
      <c r="AB5" s="2"/>
      <c r="AC5" s="3"/>
    </row>
    <row r="6" spans="2:29">
      <c r="B6" s="40" t="s">
        <v>32</v>
      </c>
      <c r="D6" s="2"/>
      <c r="E6" s="3"/>
      <c r="G6" s="2"/>
      <c r="H6" s="3"/>
      <c r="I6" s="259"/>
      <c r="J6" s="2"/>
      <c r="K6" s="3"/>
      <c r="M6" s="2"/>
      <c r="N6" s="3"/>
      <c r="P6" s="2"/>
      <c r="Q6" s="3"/>
      <c r="S6" s="2"/>
      <c r="T6" s="3"/>
      <c r="V6" s="2"/>
      <c r="W6" s="3"/>
      <c r="Y6" s="2"/>
      <c r="Z6" s="3"/>
      <c r="AB6" s="2"/>
      <c r="AC6" s="3"/>
    </row>
    <row r="7" spans="2:29">
      <c r="B7" s="40" t="s">
        <v>251</v>
      </c>
      <c r="D7" s="2"/>
      <c r="E7" s="3"/>
      <c r="G7" s="2"/>
      <c r="H7" s="3"/>
      <c r="I7" s="259"/>
      <c r="J7" s="2"/>
      <c r="K7" s="3"/>
      <c r="M7" s="2"/>
      <c r="N7" s="3"/>
      <c r="P7" s="2"/>
      <c r="Q7" s="3"/>
      <c r="S7" s="2"/>
      <c r="T7" s="3"/>
      <c r="V7" s="2"/>
      <c r="W7" s="3"/>
      <c r="Y7" s="2"/>
      <c r="Z7" s="3"/>
      <c r="AB7" s="2"/>
      <c r="AC7" s="3"/>
    </row>
    <row r="8" spans="2:29">
      <c r="B8" s="40" t="s">
        <v>252</v>
      </c>
      <c r="D8" s="2"/>
      <c r="E8" s="3"/>
      <c r="G8" s="2"/>
      <c r="H8" s="3"/>
      <c r="I8" s="259"/>
      <c r="J8" s="2"/>
      <c r="K8" s="3"/>
      <c r="M8" s="2"/>
      <c r="N8" s="3"/>
      <c r="P8" s="2"/>
      <c r="Q8" s="3"/>
      <c r="S8" s="2"/>
      <c r="T8" s="3"/>
      <c r="V8" s="2"/>
      <c r="W8" s="3"/>
      <c r="Y8" s="2"/>
      <c r="Z8" s="3"/>
      <c r="AB8" s="2"/>
      <c r="AC8" s="3"/>
    </row>
    <row r="9" spans="2:29">
      <c r="B9" s="40" t="s">
        <v>33</v>
      </c>
      <c r="D9" s="2"/>
      <c r="E9" s="3"/>
      <c r="G9" s="2"/>
      <c r="H9" s="3"/>
      <c r="I9" s="259"/>
      <c r="J9" s="2"/>
      <c r="K9" s="3"/>
      <c r="M9" s="2"/>
      <c r="N9" s="3"/>
      <c r="P9" s="2"/>
      <c r="Q9" s="3"/>
      <c r="S9" s="2"/>
      <c r="T9" s="3"/>
      <c r="V9" s="2"/>
      <c r="W9" s="3"/>
      <c r="Y9" s="2"/>
      <c r="Z9" s="3"/>
      <c r="AB9" s="2"/>
      <c r="AC9" s="3"/>
    </row>
    <row r="10" spans="2:29">
      <c r="B10" s="40" t="s">
        <v>34</v>
      </c>
      <c r="D10" s="2"/>
      <c r="E10" s="3"/>
      <c r="G10" s="2"/>
      <c r="H10" s="3"/>
      <c r="I10" s="259"/>
      <c r="J10" s="2"/>
      <c r="K10" s="3"/>
      <c r="M10" s="2"/>
      <c r="N10" s="3"/>
      <c r="P10" s="2"/>
      <c r="Q10" s="3"/>
      <c r="S10" s="2"/>
      <c r="T10" s="3"/>
      <c r="V10" s="2"/>
      <c r="W10" s="3"/>
      <c r="Y10" s="2"/>
      <c r="Z10" s="3"/>
      <c r="AB10" s="2"/>
      <c r="AC10" s="3"/>
    </row>
    <row r="11" spans="2:29">
      <c r="B11" s="40" t="s">
        <v>35</v>
      </c>
      <c r="D11" s="2"/>
      <c r="E11" s="3"/>
      <c r="G11" s="2"/>
      <c r="H11" s="3"/>
      <c r="I11" s="259"/>
      <c r="J11" s="2"/>
      <c r="K11" s="3"/>
      <c r="M11" s="2"/>
      <c r="N11" s="3"/>
      <c r="P11" s="2"/>
      <c r="Q11" s="3"/>
      <c r="S11" s="2"/>
      <c r="T11" s="3"/>
      <c r="V11" s="2"/>
      <c r="W11" s="3"/>
      <c r="Y11" s="2"/>
      <c r="Z11" s="3"/>
      <c r="AB11" s="2"/>
      <c r="AC11" s="3"/>
    </row>
    <row r="12" spans="2:29">
      <c r="B12" s="40" t="s">
        <v>36</v>
      </c>
      <c r="D12" s="2"/>
      <c r="E12" s="3"/>
      <c r="G12" s="2"/>
      <c r="H12" s="3"/>
      <c r="I12" s="259"/>
      <c r="J12" s="2"/>
      <c r="K12" s="3"/>
      <c r="M12" s="2"/>
      <c r="N12" s="3"/>
      <c r="P12" s="2"/>
      <c r="Q12" s="3"/>
      <c r="S12" s="2"/>
      <c r="T12" s="3"/>
      <c r="V12" s="2"/>
      <c r="W12" s="3"/>
      <c r="Y12" s="2"/>
      <c r="Z12" s="3"/>
      <c r="AB12" s="2"/>
      <c r="AC12" s="3"/>
    </row>
    <row r="13" spans="2:29">
      <c r="B13" s="40" t="s">
        <v>37</v>
      </c>
      <c r="D13" s="2"/>
      <c r="E13" s="3"/>
      <c r="G13" s="2"/>
      <c r="H13" s="3"/>
      <c r="I13" s="259"/>
      <c r="J13" s="2"/>
      <c r="K13" s="3"/>
      <c r="M13" s="2"/>
      <c r="N13" s="3"/>
      <c r="P13" s="2"/>
      <c r="Q13" s="3"/>
      <c r="S13" s="2"/>
      <c r="T13" s="3"/>
      <c r="V13" s="2"/>
      <c r="W13" s="3"/>
      <c r="Y13" s="2"/>
      <c r="Z13" s="3"/>
      <c r="AB13" s="2"/>
      <c r="AC13" s="3"/>
    </row>
    <row r="14" spans="2:29">
      <c r="B14" s="40" t="s">
        <v>229</v>
      </c>
      <c r="D14" s="2"/>
      <c r="E14" s="3"/>
      <c r="G14" s="2"/>
      <c r="H14" s="3"/>
      <c r="I14" s="259"/>
      <c r="J14" s="2"/>
      <c r="K14" s="3"/>
      <c r="M14" s="2"/>
      <c r="N14" s="3"/>
      <c r="P14" s="2"/>
      <c r="Q14" s="3"/>
      <c r="S14" s="2"/>
      <c r="T14" s="3"/>
      <c r="V14" s="2"/>
      <c r="W14" s="3"/>
      <c r="Y14" s="2"/>
      <c r="Z14" s="3"/>
      <c r="AB14" s="2"/>
      <c r="AC14" s="3"/>
    </row>
    <row r="15" spans="2:29">
      <c r="B15" s="40" t="s">
        <v>38</v>
      </c>
      <c r="D15" s="2"/>
      <c r="E15" s="3"/>
      <c r="G15" s="2"/>
      <c r="H15" s="3"/>
      <c r="I15" s="259"/>
      <c r="J15" s="2"/>
      <c r="K15" s="3"/>
      <c r="M15" s="2"/>
      <c r="N15" s="3"/>
      <c r="P15" s="2"/>
      <c r="Q15" s="3"/>
      <c r="S15" s="2"/>
      <c r="T15" s="3"/>
      <c r="V15" s="2"/>
      <c r="W15" s="3"/>
      <c r="Y15" s="2"/>
      <c r="Z15" s="3"/>
      <c r="AB15" s="2"/>
      <c r="AC15" s="3"/>
    </row>
    <row r="16" spans="2:29" ht="13.5" thickBot="1">
      <c r="B16" s="41" t="s">
        <v>39</v>
      </c>
      <c r="D16" s="225"/>
      <c r="E16" s="5"/>
      <c r="G16" s="225"/>
      <c r="H16" s="5"/>
      <c r="I16" s="259"/>
      <c r="J16" s="225"/>
      <c r="K16" s="5"/>
      <c r="M16" s="225"/>
      <c r="N16" s="5"/>
      <c r="P16" s="225"/>
      <c r="Q16" s="5"/>
      <c r="S16" s="225"/>
      <c r="T16" s="5"/>
      <c r="V16" s="225">
        <v>2</v>
      </c>
      <c r="W16" s="5"/>
      <c r="Y16" s="4"/>
      <c r="Z16" s="5"/>
      <c r="AB16" s="4"/>
      <c r="AC16" s="5"/>
    </row>
    <row r="17" spans="2:29" ht="13.5" thickBot="1">
      <c r="B17" s="9"/>
      <c r="D17" s="9"/>
      <c r="E17" s="9"/>
      <c r="G17" s="9"/>
      <c r="H17" s="9"/>
      <c r="I17" s="9"/>
      <c r="J17" s="9"/>
      <c r="K17" s="9"/>
      <c r="M17" s="9"/>
      <c r="N17" s="9"/>
      <c r="P17" s="9"/>
      <c r="Q17" s="9"/>
      <c r="S17" s="9"/>
      <c r="T17" s="9"/>
      <c r="V17" s="9"/>
      <c r="W17" s="9"/>
      <c r="Y17" s="9"/>
      <c r="Z17" s="9"/>
      <c r="AB17" s="9"/>
      <c r="AC17" s="9"/>
    </row>
    <row r="18" spans="2:29" ht="13.5" thickBot="1">
      <c r="B18" s="42" t="s">
        <v>1</v>
      </c>
      <c r="D18" s="10">
        <f>SUM(D5:D16)</f>
        <v>0</v>
      </c>
      <c r="E18" s="135">
        <f>SUM(D5:D14)*E2+(D16*E2)*6/5+(D15*E2)*4/5+SUM(E5:E16)</f>
        <v>0</v>
      </c>
      <c r="G18" s="10">
        <f>SUM(G5:G16)</f>
        <v>0</v>
      </c>
      <c r="H18" s="135">
        <f>SUM(G5:G14)*H2+(G16*H2)*6/5+(G15*H2)*4/5+SUM(H5:H16)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M18" s="10">
        <f>SUM(M5:M16)</f>
        <v>0</v>
      </c>
      <c r="N18" s="135">
        <f>SUM(M5:M14)*N2+(M16*N2)*6/5+(M15*N2)*4/5+SUM(N5:N16)</f>
        <v>0</v>
      </c>
      <c r="P18" s="10">
        <f>SUM(P5:P16)</f>
        <v>0</v>
      </c>
      <c r="Q18" s="135">
        <f>SUM(P5:P14)*Q2+(P16*Q2)*6/5+(P15*Q2)*4/5+SUM(Q5:Q16)</f>
        <v>0</v>
      </c>
      <c r="S18" s="10">
        <f>SUM(S5:S16)</f>
        <v>0</v>
      </c>
      <c r="T18" s="135">
        <f>SUM(S5:S14)*T2+(S16*T2)*6/5+(S15*T2)*4/5+SUM(T5:T16)</f>
        <v>0</v>
      </c>
      <c r="V18" s="10">
        <f>SUM(V5:V16)</f>
        <v>2</v>
      </c>
      <c r="W18" s="135">
        <f>SUM(V5:V14)*W2+(V16*W2)*6/5+(V15*W2)*4/5+SUM(W5:W16)</f>
        <v>48</v>
      </c>
      <c r="Y18" s="10">
        <f>SUM(Y5:Y16)</f>
        <v>0</v>
      </c>
      <c r="Z18" s="135">
        <f>SUM(Y5:Y14)*Z2+(Y16*Z2)*5/4+(Y15*Z2)*4/5+SUM(Z5:Z14)</f>
        <v>0</v>
      </c>
      <c r="AB18" s="10">
        <f>SUM(AB5:AB16)</f>
        <v>0</v>
      </c>
      <c r="AC18" s="135">
        <f>SUM(AB5:AB14)*AC2+(AB16*AC2)*5/4+(AB15*AC2)*4/5+SUM(AC5:AC14)</f>
        <v>0</v>
      </c>
    </row>
    <row r="19" spans="2:29">
      <c r="B19" s="9"/>
      <c r="D19" s="9"/>
      <c r="E19" s="9"/>
      <c r="G19" s="9"/>
      <c r="H19" s="9"/>
      <c r="I19" s="9"/>
      <c r="J19" s="9"/>
      <c r="K19" s="9"/>
      <c r="M19" s="9"/>
      <c r="N19" s="9"/>
      <c r="P19" s="9"/>
      <c r="Q19" s="9"/>
      <c r="S19" s="9"/>
      <c r="T19" s="9"/>
      <c r="V19" s="9"/>
      <c r="W19" s="9"/>
      <c r="Y19" s="9"/>
      <c r="Z19" s="9"/>
      <c r="AB19" s="9"/>
      <c r="AC19" s="9"/>
    </row>
    <row r="20" spans="2:29" ht="13.5" thickBot="1"/>
    <row r="21" spans="2:29" ht="13.5" thickBot="1">
      <c r="B21" s="43" t="s">
        <v>61</v>
      </c>
      <c r="C21" s="11"/>
      <c r="D21" s="7">
        <f>E18+H18+K18+N18+Q18+T18+W18+Z18+AC18</f>
        <v>48</v>
      </c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showGridLines="0" workbookViewId="0">
      <selection activeCell="J16" sqref="J16"/>
    </sheetView>
  </sheetViews>
  <sheetFormatPr baseColWidth="10" defaultRowHeight="12.75"/>
  <cols>
    <col min="1" max="1" width="11.42578125" style="1"/>
    <col min="2" max="2" width="2.7109375" style="1" customWidth="1"/>
    <col min="3" max="3" width="12.7109375" style="1" bestFit="1" customWidth="1"/>
    <col min="4" max="4" width="2.7109375" style="1" customWidth="1"/>
    <col min="5" max="11" width="10.7109375" style="6" customWidth="1"/>
    <col min="12" max="12" width="11.7109375" style="1" customWidth="1"/>
    <col min="13" max="13" width="2.5703125" style="1" customWidth="1"/>
    <col min="14" max="16384" width="11.42578125" style="1"/>
  </cols>
  <sheetData>
    <row r="1" spans="1:14" ht="13.5" thickBot="1">
      <c r="A1" s="226"/>
    </row>
    <row r="2" spans="1:14" ht="13.5" thickBot="1">
      <c r="A2" s="226"/>
      <c r="B2" s="44"/>
      <c r="C2" s="45"/>
      <c r="D2" s="45"/>
      <c r="E2" s="46"/>
      <c r="F2" s="46"/>
      <c r="G2" s="46"/>
      <c r="H2" s="46"/>
      <c r="I2" s="46"/>
      <c r="J2" s="46"/>
      <c r="K2" s="46"/>
      <c r="L2" s="45"/>
      <c r="M2" s="262"/>
    </row>
    <row r="3" spans="1:14" ht="13.5" thickBot="1">
      <c r="A3" s="226"/>
      <c r="B3" s="48"/>
      <c r="C3" s="49"/>
      <c r="D3" s="49"/>
      <c r="E3" s="50" t="s">
        <v>49</v>
      </c>
      <c r="F3" s="51" t="s">
        <v>40</v>
      </c>
      <c r="G3" s="51" t="s">
        <v>42</v>
      </c>
      <c r="H3" s="51" t="s">
        <v>253</v>
      </c>
      <c r="I3" s="51" t="s">
        <v>43</v>
      </c>
      <c r="J3" s="51" t="s">
        <v>44</v>
      </c>
      <c r="K3" s="51" t="s">
        <v>45</v>
      </c>
      <c r="L3" s="52" t="s">
        <v>46</v>
      </c>
      <c r="M3" s="53"/>
      <c r="N3" s="226"/>
    </row>
    <row r="4" spans="1:14" ht="13.5" thickBot="1">
      <c r="A4" s="226"/>
      <c r="B4" s="48"/>
      <c r="C4" s="49"/>
      <c r="D4" s="49"/>
      <c r="E4" s="9"/>
      <c r="F4" s="9"/>
      <c r="G4" s="9"/>
      <c r="H4" s="9"/>
      <c r="I4" s="9"/>
      <c r="J4" s="9"/>
      <c r="K4" s="9"/>
      <c r="L4" s="9"/>
      <c r="M4" s="53"/>
      <c r="N4" s="226"/>
    </row>
    <row r="5" spans="1:14">
      <c r="A5" s="226"/>
      <c r="B5" s="48"/>
      <c r="C5" s="54" t="s">
        <v>50</v>
      </c>
      <c r="D5" s="49"/>
      <c r="E5" s="228"/>
      <c r="F5" s="229">
        <v>3.6595889999999995</v>
      </c>
      <c r="G5" s="229">
        <v>0</v>
      </c>
      <c r="H5" s="229">
        <v>2</v>
      </c>
      <c r="I5" s="229">
        <v>12.625</v>
      </c>
      <c r="J5" s="229">
        <v>12.625</v>
      </c>
      <c r="K5" s="229">
        <v>14.763249</v>
      </c>
      <c r="L5" s="230">
        <v>1.793256</v>
      </c>
      <c r="M5" s="53"/>
      <c r="N5" s="226"/>
    </row>
    <row r="6" spans="1:14">
      <c r="A6" s="226"/>
      <c r="B6" s="48"/>
      <c r="C6" s="55" t="s">
        <v>51</v>
      </c>
      <c r="D6" s="49"/>
      <c r="E6" s="231">
        <v>38</v>
      </c>
      <c r="F6" s="232">
        <v>35</v>
      </c>
      <c r="G6" s="232">
        <v>6</v>
      </c>
      <c r="H6" s="232">
        <v>1</v>
      </c>
      <c r="I6" s="232">
        <v>16</v>
      </c>
      <c r="J6" s="232">
        <v>15</v>
      </c>
      <c r="K6" s="232">
        <v>4</v>
      </c>
      <c r="L6" s="233">
        <v>0</v>
      </c>
      <c r="M6" s="53"/>
      <c r="N6" s="226"/>
    </row>
    <row r="7" spans="1:14">
      <c r="A7" s="226"/>
      <c r="B7" s="48"/>
      <c r="C7" s="55" t="s">
        <v>52</v>
      </c>
      <c r="D7" s="49"/>
      <c r="E7" s="234">
        <v>0</v>
      </c>
      <c r="F7" s="232">
        <f>Importación!D18</f>
        <v>0</v>
      </c>
      <c r="G7" s="232">
        <f>Importación!G18</f>
        <v>0</v>
      </c>
      <c r="H7" s="232">
        <f>Importación!J18</f>
        <v>0</v>
      </c>
      <c r="I7" s="232">
        <f>Importación!M18</f>
        <v>0</v>
      </c>
      <c r="J7" s="232">
        <f>Importación!P18</f>
        <v>0</v>
      </c>
      <c r="K7" s="232">
        <f>Importación!S18</f>
        <v>3</v>
      </c>
      <c r="L7" s="233">
        <f>Importación!V18</f>
        <v>0</v>
      </c>
      <c r="M7" s="53"/>
      <c r="N7" s="226"/>
    </row>
    <row r="8" spans="1:14">
      <c r="A8" s="226"/>
      <c r="B8" s="48"/>
      <c r="C8" s="55" t="s">
        <v>53</v>
      </c>
      <c r="D8" s="49"/>
      <c r="E8" s="234">
        <v>0</v>
      </c>
      <c r="F8" s="232">
        <f>Exportación!D18</f>
        <v>0</v>
      </c>
      <c r="G8" s="232">
        <f>Exportación!G18</f>
        <v>0</v>
      </c>
      <c r="H8" s="232">
        <f>Exportación!J18</f>
        <v>0</v>
      </c>
      <c r="I8" s="232">
        <f>Exportación!M18</f>
        <v>0</v>
      </c>
      <c r="J8" s="232">
        <f>Exportación!P18</f>
        <v>0</v>
      </c>
      <c r="K8" s="232">
        <f>Exportación!S18</f>
        <v>0</v>
      </c>
      <c r="L8" s="233">
        <f>Exportación!V18</f>
        <v>2</v>
      </c>
      <c r="M8" s="53"/>
      <c r="N8" s="226"/>
    </row>
    <row r="9" spans="1:14">
      <c r="A9" s="226"/>
      <c r="B9" s="48"/>
      <c r="C9" s="55" t="s">
        <v>54</v>
      </c>
      <c r="D9" s="49"/>
      <c r="E9" s="235">
        <f>Inversiones!M51</f>
        <v>0</v>
      </c>
      <c r="F9" s="232">
        <f>VLOOKUP(Sumario!J4,Sumario!N4:R10,3,0)*Sumario!D3/1000</f>
        <v>34.841999915456348</v>
      </c>
      <c r="G9" s="236"/>
      <c r="H9" s="236"/>
      <c r="I9" s="237">
        <f>Inversiones!N51</f>
        <v>0</v>
      </c>
      <c r="J9" s="237">
        <f>Inversiones!O51</f>
        <v>0</v>
      </c>
      <c r="K9" s="232">
        <f>VLOOKUP(Sumario!J4,Sumario!N4:R10,4,0)*Sumario!D3/1000</f>
        <v>13.936799966182539</v>
      </c>
      <c r="L9" s="233">
        <f>VLOOKUP(Sumario!J4,Sumario!N4:R10,2,0)*Sumario!D3/1000</f>
        <v>15.485333295758377</v>
      </c>
      <c r="M9" s="53"/>
      <c r="N9" s="226"/>
    </row>
    <row r="10" spans="1:14">
      <c r="A10" s="226"/>
      <c r="B10" s="48"/>
      <c r="C10" s="55" t="s">
        <v>55</v>
      </c>
      <c r="D10" s="49"/>
      <c r="E10" s="231">
        <f>Militar!E33+Militar!E41</f>
        <v>0</v>
      </c>
      <c r="F10" s="234">
        <v>0</v>
      </c>
      <c r="G10" s="236"/>
      <c r="H10" s="236"/>
      <c r="I10" s="232">
        <f>Militar!F33+Militar!F41</f>
        <v>0</v>
      </c>
      <c r="J10" s="232">
        <f>Militar!G33+Militar!G41+'Instalaciones Militares'!E21</f>
        <v>0</v>
      </c>
      <c r="K10" s="236"/>
      <c r="L10" s="238"/>
      <c r="M10" s="53"/>
      <c r="N10" s="226"/>
    </row>
    <row r="11" spans="1:14">
      <c r="A11" s="226"/>
      <c r="B11" s="48"/>
      <c r="C11" s="55" t="s">
        <v>226</v>
      </c>
      <c r="D11" s="49"/>
      <c r="E11" s="236"/>
      <c r="F11" s="239"/>
      <c r="G11" s="236"/>
      <c r="H11" s="265"/>
      <c r="I11" s="264"/>
      <c r="J11" s="236"/>
      <c r="K11" s="236"/>
      <c r="L11" s="236"/>
      <c r="M11" s="53"/>
      <c r="N11" s="226" t="str">
        <f ca="1">IF((I11*Importación!N2)&gt;Transporte!N7+Militar!T51+(0.2*Militar!P26*Importación!N2),"ERROR: No puedes gastar en carbón una cantidad mayor que "&amp;(((Transporte!N7+Militar!T51)/10)+(0.2*Militar!P26))&amp;" .",IF((F11*Importación!E2)&gt;(Militar!T26-0.2*Militar!P26),"ERROR: No puedes gastar en comida una cantidad mayor que "&amp;((Militar!T26/10)-0.2*Militar!P26)&amp;" .",""))</f>
        <v/>
      </c>
    </row>
    <row r="12" spans="1:14">
      <c r="A12" s="226"/>
      <c r="B12" s="48"/>
      <c r="C12" s="55" t="s">
        <v>56</v>
      </c>
      <c r="D12" s="49"/>
      <c r="E12" s="240"/>
      <c r="F12" s="241">
        <v>0</v>
      </c>
      <c r="G12" s="232">
        <f>E12</f>
        <v>0</v>
      </c>
      <c r="H12" s="241"/>
      <c r="I12" s="241">
        <v>0</v>
      </c>
      <c r="J12" s="241">
        <v>0</v>
      </c>
      <c r="K12" s="241">
        <v>0</v>
      </c>
      <c r="L12" s="233">
        <f>E12</f>
        <v>0</v>
      </c>
      <c r="M12" s="53"/>
      <c r="N12" s="226"/>
    </row>
    <row r="13" spans="1:14">
      <c r="A13" s="226"/>
      <c r="B13" s="48"/>
      <c r="C13" s="55" t="s">
        <v>57</v>
      </c>
      <c r="D13" s="49"/>
      <c r="E13" s="240"/>
      <c r="F13" s="241">
        <v>0</v>
      </c>
      <c r="G13" s="241">
        <v>0</v>
      </c>
      <c r="H13" s="241"/>
      <c r="I13" s="232">
        <f>E13/2</f>
        <v>0</v>
      </c>
      <c r="J13" s="232">
        <f>E13/2</f>
        <v>0</v>
      </c>
      <c r="K13" s="241">
        <v>0</v>
      </c>
      <c r="L13" s="233">
        <f>E13</f>
        <v>0</v>
      </c>
      <c r="M13" s="53"/>
      <c r="N13" s="226"/>
    </row>
    <row r="14" spans="1:14">
      <c r="A14" s="226"/>
      <c r="B14" s="48"/>
      <c r="C14" s="56" t="s">
        <v>254</v>
      </c>
      <c r="D14" s="49"/>
      <c r="E14" s="267"/>
      <c r="F14" s="243"/>
      <c r="G14" s="243"/>
      <c r="H14" s="268">
        <f>E14</f>
        <v>0</v>
      </c>
      <c r="I14" s="243"/>
      <c r="J14" s="243"/>
      <c r="K14" s="243"/>
      <c r="L14" s="266">
        <f>H14</f>
        <v>0</v>
      </c>
      <c r="M14" s="53"/>
      <c r="N14" s="226"/>
    </row>
    <row r="15" spans="1:14">
      <c r="A15" s="209"/>
      <c r="B15" s="48"/>
      <c r="C15" s="56" t="s">
        <v>45</v>
      </c>
      <c r="D15" s="49"/>
      <c r="E15" s="242"/>
      <c r="F15" s="243">
        <v>0</v>
      </c>
      <c r="G15" s="243">
        <v>0</v>
      </c>
      <c r="H15" s="243"/>
      <c r="I15" s="243">
        <v>0</v>
      </c>
      <c r="J15" s="243">
        <v>0</v>
      </c>
      <c r="K15" s="244">
        <f>E15</f>
        <v>0</v>
      </c>
      <c r="L15" s="245">
        <v>0</v>
      </c>
      <c r="M15" s="53"/>
      <c r="N15" s="226"/>
    </row>
    <row r="16" spans="1:14" ht="13.5" thickBot="1">
      <c r="A16" s="209"/>
      <c r="B16" s="48"/>
      <c r="C16" s="57" t="s">
        <v>58</v>
      </c>
      <c r="D16" s="49"/>
      <c r="E16" s="246"/>
      <c r="F16" s="247"/>
      <c r="G16" s="247"/>
      <c r="H16" s="247"/>
      <c r="I16" s="247"/>
      <c r="J16" s="247"/>
      <c r="K16" s="247"/>
      <c r="L16" s="248"/>
      <c r="M16" s="53"/>
      <c r="N16" s="226"/>
    </row>
    <row r="17" spans="1:16" ht="13.5" thickBot="1">
      <c r="A17" s="209"/>
      <c r="B17" s="48"/>
      <c r="C17" s="49"/>
      <c r="D17" s="49"/>
      <c r="E17" s="249"/>
      <c r="F17" s="249"/>
      <c r="G17" s="249"/>
      <c r="H17" s="249"/>
      <c r="I17" s="249"/>
      <c r="J17" s="249"/>
      <c r="K17" s="249"/>
      <c r="L17" s="249"/>
      <c r="M17" s="53"/>
      <c r="N17" s="226"/>
    </row>
    <row r="18" spans="1:16" ht="13.5" thickBot="1">
      <c r="A18" s="209" t="b">
        <f>OR(C21=TRUE,K18&gt;0.000001,L18&gt;0.000001)</f>
        <v>1</v>
      </c>
      <c r="B18" s="48"/>
      <c r="C18" s="58" t="s">
        <v>59</v>
      </c>
      <c r="D18" s="49"/>
      <c r="E18" s="250">
        <f>ROUND(E5+E6+E7-E8-E9-E10-E12-E13-E15-E16,6)</f>
        <v>38</v>
      </c>
      <c r="F18" s="250">
        <f>ROUND(F5+F6+F7-F8-F9-F10-F11-F12-F13-F15-F16,6)</f>
        <v>3.8175889999999999</v>
      </c>
      <c r="G18" s="250">
        <f>ROUND(G5+G6+G7-G8-G9-G10-G12-G13-G15-G16,6)</f>
        <v>6</v>
      </c>
      <c r="H18" s="250">
        <f>ROUND(H5+H6+H7-H8-H11-H14-H16,6)</f>
        <v>3</v>
      </c>
      <c r="I18" s="250">
        <f>ROUND(I5+I6+I7-I8-I9-I10-I11-I12-I13-I15-I16,6)</f>
        <v>28.625</v>
      </c>
      <c r="J18" s="250">
        <f>ROUND(J5+J6+J7-J8-J9-J10-J12-J13-J15-J16,6)</f>
        <v>27.625</v>
      </c>
      <c r="K18" s="250">
        <f>ROUND(K5+K6+K7-K8-K9-K10-K12-K13+K15-K16,6)</f>
        <v>7.8264490000000002</v>
      </c>
      <c r="L18" s="251">
        <f>ROUND(L5+L6+L7-L8-L9-L10+L12+L13-L16,6)</f>
        <v>-15.692076999999999</v>
      </c>
      <c r="M18" s="269"/>
      <c r="N18" s="226" t="str">
        <f>IF(A18=TRUE,"ERROR: No puede haber valores negativos en esta fila","")</f>
        <v>ERROR: No puede haber valores negativos en esta fila</v>
      </c>
    </row>
    <row r="19" spans="1:16" ht="13.5" thickBot="1">
      <c r="A19" s="209"/>
      <c r="B19" s="270"/>
      <c r="C19" s="60"/>
      <c r="D19" s="60"/>
      <c r="E19" s="61"/>
      <c r="F19" s="61"/>
      <c r="G19" s="61"/>
      <c r="H19" s="61"/>
      <c r="I19" s="61"/>
      <c r="J19" s="61"/>
      <c r="K19" s="61"/>
      <c r="L19" s="60"/>
      <c r="M19" s="263"/>
      <c r="O19" s="226"/>
      <c r="P19" s="226"/>
    </row>
    <row r="20" spans="1:16">
      <c r="A20" s="209"/>
      <c r="B20" s="226"/>
      <c r="C20" s="226"/>
      <c r="D20" s="226"/>
      <c r="E20" s="227"/>
      <c r="F20" s="227"/>
      <c r="G20" s="227"/>
      <c r="H20" s="227"/>
      <c r="I20" s="227"/>
      <c r="J20" s="227"/>
      <c r="K20" s="227"/>
      <c r="L20" s="226"/>
      <c r="M20" s="226"/>
      <c r="N20" s="226"/>
      <c r="O20" s="226"/>
      <c r="P20" s="226"/>
    </row>
    <row r="21" spans="1:16">
      <c r="A21" s="209"/>
      <c r="B21" s="226"/>
      <c r="C21" s="209" t="b">
        <f>OR(E18&gt;0.000001,F18&gt;0.000001,G18&gt;0.000001,I18&gt;0.000001,J18&gt;0.000001)</f>
        <v>1</v>
      </c>
      <c r="D21" s="226"/>
      <c r="E21" s="227"/>
      <c r="F21" s="227"/>
      <c r="G21" s="227"/>
      <c r="H21" s="227"/>
      <c r="I21" s="227"/>
      <c r="J21" s="227"/>
      <c r="K21" s="227"/>
      <c r="L21" s="226"/>
      <c r="M21" s="226"/>
      <c r="N21" s="226"/>
      <c r="O21" s="226"/>
      <c r="P21" s="226"/>
    </row>
    <row r="22" spans="1:16">
      <c r="A22" s="226"/>
      <c r="B22" s="226"/>
      <c r="C22" s="226"/>
      <c r="D22" s="226"/>
      <c r="E22" s="227"/>
      <c r="F22" s="227"/>
      <c r="G22" s="227"/>
      <c r="H22" s="227"/>
      <c r="I22" s="227"/>
      <c r="J22" s="227"/>
      <c r="K22" s="227"/>
      <c r="L22" s="226"/>
      <c r="M22" s="226"/>
      <c r="N22" s="226"/>
      <c r="O22" s="226"/>
      <c r="P22" s="226"/>
    </row>
    <row r="23" spans="1:16">
      <c r="A23" s="226"/>
      <c r="B23" s="226"/>
      <c r="C23" s="226"/>
      <c r="D23" s="226"/>
      <c r="E23" s="227"/>
      <c r="F23" s="227"/>
      <c r="G23" s="227"/>
      <c r="H23" s="227"/>
      <c r="I23" s="227"/>
      <c r="J23" s="227"/>
      <c r="K23" s="227"/>
      <c r="L23" s="226"/>
      <c r="M23" s="226"/>
      <c r="N23" s="226"/>
      <c r="O23" s="226"/>
      <c r="P23" s="226"/>
    </row>
    <row r="24" spans="1:16">
      <c r="A24" s="226"/>
      <c r="B24" s="226"/>
      <c r="C24" s="226"/>
      <c r="D24" s="226"/>
      <c r="E24" s="227"/>
      <c r="F24" s="227"/>
      <c r="G24" s="227"/>
      <c r="H24" s="227"/>
      <c r="I24" s="227"/>
      <c r="J24" s="227"/>
      <c r="K24" s="227"/>
      <c r="L24" s="226"/>
      <c r="M24" s="226"/>
      <c r="N24" s="226"/>
      <c r="O24" s="226"/>
      <c r="P24" s="226"/>
    </row>
    <row r="25" spans="1:16">
      <c r="A25" s="226"/>
      <c r="B25" s="226"/>
      <c r="C25" s="226"/>
      <c r="D25" s="226"/>
      <c r="E25" s="227"/>
      <c r="F25" s="227"/>
      <c r="G25" s="227"/>
      <c r="H25" s="227"/>
      <c r="I25" s="227"/>
      <c r="J25" s="227"/>
      <c r="K25" s="227"/>
      <c r="L25" s="226"/>
      <c r="M25" s="226"/>
      <c r="N25" s="226"/>
      <c r="O25" s="226"/>
      <c r="P25" s="226"/>
    </row>
    <row r="26" spans="1:16">
      <c r="A26" s="226"/>
      <c r="B26" s="226"/>
      <c r="C26" s="226"/>
      <c r="D26" s="226"/>
      <c r="E26" s="227"/>
      <c r="F26" s="227"/>
      <c r="G26" s="227"/>
      <c r="H26" s="227"/>
      <c r="I26" s="227"/>
      <c r="J26" s="227"/>
      <c r="K26" s="227"/>
      <c r="L26" s="226"/>
      <c r="M26" s="226"/>
      <c r="N26" s="226"/>
      <c r="O26" s="226"/>
      <c r="P26" s="226"/>
    </row>
    <row r="27" spans="1:16">
      <c r="A27" s="226"/>
      <c r="B27" s="226"/>
      <c r="C27" s="226"/>
      <c r="D27" s="226"/>
      <c r="E27" s="227"/>
      <c r="F27" s="227"/>
      <c r="G27" s="227"/>
      <c r="H27" s="227"/>
      <c r="I27" s="227"/>
      <c r="J27" s="227"/>
      <c r="K27" s="227"/>
      <c r="L27" s="226"/>
      <c r="M27" s="226"/>
      <c r="N27" s="226"/>
      <c r="O27" s="226"/>
      <c r="P27" s="226"/>
    </row>
    <row r="28" spans="1:16">
      <c r="A28" s="226"/>
      <c r="C28" s="226"/>
      <c r="D28" s="226"/>
      <c r="E28" s="227"/>
      <c r="F28" s="227"/>
      <c r="G28" s="227"/>
      <c r="H28" s="227"/>
      <c r="I28" s="227"/>
      <c r="J28" s="227"/>
      <c r="K28" s="227"/>
      <c r="L28" s="226"/>
      <c r="M28" s="226"/>
      <c r="N28" s="226"/>
    </row>
    <row r="29" spans="1:16">
      <c r="M29" s="226"/>
    </row>
    <row r="30" spans="1:16">
      <c r="M30" s="226"/>
    </row>
  </sheetData>
  <sheetProtection password="CC15" sheet="1" objects="1" scenarios="1" selectLockedCells="1"/>
  <phoneticPr fontId="3" type="noConversion"/>
  <pageMargins left="0.75" right="0.75" top="1" bottom="1" header="0" footer="0"/>
  <pageSetup paperSize="9" orientation="portrait" r:id="rId1"/>
  <headerFooter alignWithMargins="0"/>
  <ignoredErrors>
    <ignoredError sqref="F1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B1:AD65"/>
  <sheetViews>
    <sheetView showGridLines="0" topLeftCell="A7" zoomScale="85" zoomScaleNormal="85" workbookViewId="0">
      <selection activeCell="D36" sqref="D36"/>
    </sheetView>
  </sheetViews>
  <sheetFormatPr baseColWidth="10" defaultRowHeight="12.75"/>
  <cols>
    <col min="1" max="2" width="2.7109375" style="1" customWidth="1"/>
    <col min="3" max="3" width="17.42578125" style="1" bestFit="1" customWidth="1"/>
    <col min="4" max="4" width="13.140625" style="1" bestFit="1" customWidth="1"/>
    <col min="5" max="5" width="12.140625" style="1" bestFit="1" customWidth="1"/>
    <col min="6" max="6" width="14.7109375" style="1" bestFit="1" customWidth="1"/>
    <col min="7" max="7" width="11.28515625" style="1" bestFit="1" customWidth="1"/>
    <col min="8" max="8" width="15.140625" style="1" bestFit="1" customWidth="1"/>
    <col min="9" max="11" width="2.7109375" style="1" customWidth="1"/>
    <col min="12" max="12" width="11.28515625" style="1" bestFit="1" customWidth="1"/>
    <col min="13" max="13" width="12.140625" style="1" bestFit="1" customWidth="1"/>
    <col min="14" max="14" width="9.85546875" style="1" bestFit="1" customWidth="1"/>
    <col min="15" max="15" width="10.42578125" style="1" bestFit="1" customWidth="1"/>
    <col min="16" max="16" width="12.42578125" style="1" bestFit="1" customWidth="1"/>
    <col min="17" max="17" width="12.7109375" style="1" bestFit="1" customWidth="1"/>
    <col min="18" max="18" width="13.42578125" style="1" bestFit="1" customWidth="1"/>
    <col min="19" max="19" width="8.140625" style="1" bestFit="1" customWidth="1"/>
    <col min="20" max="20" width="6.7109375" style="1" bestFit="1" customWidth="1"/>
    <col min="21" max="21" width="2.7109375" style="1" customWidth="1"/>
    <col min="22" max="22" width="128.140625" style="1" bestFit="1" customWidth="1"/>
    <col min="23" max="23" width="3.140625" style="1" bestFit="1" customWidth="1"/>
    <col min="24" max="24" width="18.5703125" style="1" bestFit="1" customWidth="1"/>
    <col min="25" max="30" width="4.7109375" style="1" bestFit="1" customWidth="1"/>
    <col min="31" max="16384" width="11.42578125" style="1"/>
  </cols>
  <sheetData>
    <row r="1" spans="2:30" ht="13.5" thickBot="1">
      <c r="M1" s="6"/>
      <c r="N1" s="6"/>
      <c r="O1" s="6"/>
      <c r="P1" s="6"/>
      <c r="Q1" s="6"/>
      <c r="R1" s="6"/>
      <c r="S1" s="6"/>
      <c r="T1" s="6"/>
      <c r="X1" s="14"/>
      <c r="Y1" s="14"/>
      <c r="Z1" s="14"/>
      <c r="AA1" s="14"/>
      <c r="AB1" s="14"/>
      <c r="AC1" s="14"/>
      <c r="AD1" s="14"/>
    </row>
    <row r="2" spans="2:30">
      <c r="B2" s="44"/>
      <c r="C2" s="45"/>
      <c r="D2" s="45"/>
      <c r="E2" s="45"/>
      <c r="F2" s="45"/>
      <c r="G2" s="45"/>
      <c r="H2" s="45"/>
      <c r="I2" s="47"/>
      <c r="K2" s="44"/>
      <c r="L2" s="45"/>
      <c r="M2" s="46"/>
      <c r="N2" s="46"/>
      <c r="O2" s="46"/>
      <c r="P2" s="46"/>
      <c r="Q2" s="46"/>
      <c r="R2" s="46"/>
      <c r="S2" s="46"/>
      <c r="T2" s="46"/>
      <c r="U2" s="47"/>
      <c r="W2" s="209" t="s">
        <v>223</v>
      </c>
      <c r="X2" s="277" t="s">
        <v>126</v>
      </c>
      <c r="Y2" s="277"/>
      <c r="Z2" s="63">
        <v>10</v>
      </c>
      <c r="AA2" s="14"/>
      <c r="AB2" s="14"/>
      <c r="AC2" s="14"/>
      <c r="AD2" s="14"/>
    </row>
    <row r="3" spans="2:30">
      <c r="B3" s="48"/>
      <c r="C3" s="278" t="s">
        <v>88</v>
      </c>
      <c r="D3" s="278"/>
      <c r="E3" s="278"/>
      <c r="F3" s="278"/>
      <c r="G3" s="278"/>
      <c r="H3" s="284"/>
      <c r="I3" s="53"/>
      <c r="K3" s="48"/>
      <c r="L3" s="49"/>
      <c r="M3" s="278" t="s">
        <v>115</v>
      </c>
      <c r="N3" s="278"/>
      <c r="O3" s="278"/>
      <c r="P3" s="278"/>
      <c r="Q3" s="278"/>
      <c r="R3" s="278"/>
      <c r="S3" s="9"/>
      <c r="T3" s="9"/>
      <c r="U3" s="53"/>
      <c r="W3" s="209" t="s">
        <v>224</v>
      </c>
      <c r="X3" s="14"/>
      <c r="Y3" s="14"/>
      <c r="Z3" s="14"/>
      <c r="AA3" s="14"/>
      <c r="AB3" s="14"/>
      <c r="AC3" s="14"/>
      <c r="AD3" s="14"/>
    </row>
    <row r="4" spans="2:30" ht="13.5" thickBot="1">
      <c r="B4" s="48"/>
      <c r="C4" s="49"/>
      <c r="D4" s="49"/>
      <c r="E4" s="49"/>
      <c r="F4" s="49"/>
      <c r="G4" s="49"/>
      <c r="H4" s="49"/>
      <c r="I4" s="53"/>
      <c r="K4" s="48"/>
      <c r="L4" s="49"/>
      <c r="M4" s="9"/>
      <c r="N4" s="9"/>
      <c r="O4" s="9"/>
      <c r="P4" s="9"/>
      <c r="Q4" s="9"/>
      <c r="R4" s="9"/>
      <c r="S4" s="9"/>
      <c r="T4" s="9"/>
      <c r="U4" s="53"/>
      <c r="X4" s="14"/>
      <c r="Y4" s="15" t="s">
        <v>120</v>
      </c>
      <c r="Z4" s="15" t="s">
        <v>121</v>
      </c>
      <c r="AA4" s="15" t="s">
        <v>122</v>
      </c>
      <c r="AB4" s="15" t="s">
        <v>3</v>
      </c>
      <c r="AC4" s="15" t="s">
        <v>2</v>
      </c>
      <c r="AD4" s="15" t="s">
        <v>4</v>
      </c>
    </row>
    <row r="5" spans="2:30" ht="14.25" thickTop="1" thickBot="1">
      <c r="B5" s="48"/>
      <c r="C5" s="281" t="s">
        <v>78</v>
      </c>
      <c r="D5" s="282"/>
      <c r="E5" s="282"/>
      <c r="F5" s="282"/>
      <c r="G5" s="282"/>
      <c r="H5" s="283"/>
      <c r="I5" s="53"/>
      <c r="K5" s="48"/>
      <c r="L5" s="49"/>
      <c r="M5" s="64" t="s">
        <v>113</v>
      </c>
      <c r="N5" s="65" t="s">
        <v>225</v>
      </c>
      <c r="O5" s="65" t="s">
        <v>74</v>
      </c>
      <c r="P5" s="65" t="s">
        <v>114</v>
      </c>
      <c r="Q5" s="65" t="s">
        <v>1</v>
      </c>
      <c r="R5" s="65" t="s">
        <v>90</v>
      </c>
      <c r="S5" s="65" t="s">
        <v>91</v>
      </c>
      <c r="T5" s="66" t="s">
        <v>136</v>
      </c>
      <c r="U5" s="53"/>
      <c r="X5" s="67" t="s">
        <v>81</v>
      </c>
      <c r="Y5" s="15">
        <v>10</v>
      </c>
      <c r="Z5" s="15">
        <v>8</v>
      </c>
      <c r="AA5" s="15">
        <v>7</v>
      </c>
      <c r="AB5" s="15">
        <v>6</v>
      </c>
      <c r="AC5" s="15">
        <v>6</v>
      </c>
      <c r="AD5" s="15">
        <v>5</v>
      </c>
    </row>
    <row r="6" spans="2:30" ht="13.5" thickTop="1">
      <c r="B6" s="48"/>
      <c r="C6" s="68"/>
      <c r="D6" s="69" t="s">
        <v>76</v>
      </c>
      <c r="E6" s="69" t="s">
        <v>75</v>
      </c>
      <c r="F6" s="69" t="s">
        <v>77</v>
      </c>
      <c r="G6" s="70" t="s">
        <v>80</v>
      </c>
      <c r="H6" s="71" t="s">
        <v>116</v>
      </c>
      <c r="I6" s="53"/>
      <c r="K6" s="48"/>
      <c r="L6" s="72" t="s">
        <v>103</v>
      </c>
      <c r="M6" s="99">
        <v>8.5</v>
      </c>
      <c r="N6" s="99" t="s">
        <v>224</v>
      </c>
      <c r="O6" s="99">
        <v>6</v>
      </c>
      <c r="P6" s="99"/>
      <c r="Q6" s="219">
        <f>M6+O6+P6</f>
        <v>14.5</v>
      </c>
      <c r="R6" s="99" t="s">
        <v>259</v>
      </c>
      <c r="S6" s="99"/>
      <c r="T6" s="120">
        <f>IF(S6&lt;&gt;"",IF(N6="si",((M6+O6)*(Importación!$E$2*0.4))+(M6*Importación!$N$2*0.1)+((0.2*Importación!$N$2+0.05*Importación!$E$2)*P6),((M6+O6)*(Importación!$E$2*0.4))+((0.2*Importación!$N$2+0.05*Importación!$E$2)*P6)),0)</f>
        <v>0</v>
      </c>
      <c r="U6" s="53"/>
      <c r="V6" s="1" t="str">
        <f>IF(M6&lt;&gt;"",IF(N6&lt;&gt;"","","ERROR: DEBES ESPECIFICAR SI TU UNIDADES DE INFANTERIA MONTAN AMETRALLADORAS"),IF(N6&lt;&gt;"","ERROR: HAS ESPECIFICADO QUE TUS UNIDADES LLEVAN AMETRALLADORAS, PERO NO HAS MARCADO NADA EN LA CASILLA DE LA INFANTERIA",""))</f>
        <v/>
      </c>
      <c r="X6" s="67" t="s">
        <v>82</v>
      </c>
      <c r="Y6" s="15">
        <v>6</v>
      </c>
      <c r="Z6" s="15">
        <v>5</v>
      </c>
      <c r="AA6" s="15">
        <v>5</v>
      </c>
      <c r="AB6" s="15">
        <v>4</v>
      </c>
      <c r="AC6" s="15">
        <v>4</v>
      </c>
      <c r="AD6" s="15">
        <v>3</v>
      </c>
    </row>
    <row r="7" spans="2:30">
      <c r="B7" s="48"/>
      <c r="C7" s="73" t="s">
        <v>72</v>
      </c>
      <c r="D7" s="74">
        <v>18</v>
      </c>
      <c r="E7" s="74">
        <f>D7*20000</f>
        <v>360000</v>
      </c>
      <c r="F7" s="74" t="str">
        <f>Investigación!E6</f>
        <v>B</v>
      </c>
      <c r="G7" s="75" t="s">
        <v>121</v>
      </c>
      <c r="H7" s="76">
        <f>1*D7</f>
        <v>18</v>
      </c>
      <c r="I7" s="53"/>
      <c r="K7" s="48"/>
      <c r="L7" s="77" t="s">
        <v>104</v>
      </c>
      <c r="M7" s="99">
        <v>2.5</v>
      </c>
      <c r="N7" s="99" t="s">
        <v>224</v>
      </c>
      <c r="O7" s="99">
        <v>1</v>
      </c>
      <c r="P7" s="99"/>
      <c r="Q7" s="219">
        <f t="shared" ref="Q7:Q25" si="0">M7+O7+P7</f>
        <v>3.5</v>
      </c>
      <c r="R7" s="99" t="s">
        <v>260</v>
      </c>
      <c r="S7" s="99"/>
      <c r="T7" s="120">
        <f>IF(S7&lt;&gt;"",IF(N7="si",((M7+O7)*(Importación!$E$2*0.4))+(M7*Importación!$N$2*0.1)+((0.2*Importación!$N$2+0.05*Importación!$E$2)*P7),((M7+O7)*(Importación!$E$2*0.4))+((0.2*Importación!$N$2+0.05*Importación!$E$2)*P7)),0)</f>
        <v>0</v>
      </c>
      <c r="U7" s="53"/>
      <c r="V7" s="1" t="str">
        <f t="shared" ref="V7:V25" si="1">IF(M7&lt;&gt;"",IF(N7&lt;&gt;"","","ERROR: DEBES ESPECIFICAR SI TU UNIDADES DE INFANTERIA MONTAN AMETRALLADORAS"),IF(N7&lt;&gt;"","ERROR: HAS ESPECIFICADO QUE TUS UNIDADES LLEVAN AMETRALLADORAS, PERO NO HAS MARCADO NADA EN LA CASILLA DE LA INFANTERIA",""))</f>
        <v/>
      </c>
      <c r="X7" s="67" t="s">
        <v>83</v>
      </c>
      <c r="Y7" s="15">
        <v>3</v>
      </c>
      <c r="Z7" s="15">
        <v>3</v>
      </c>
      <c r="AA7" s="15">
        <v>2</v>
      </c>
      <c r="AB7" s="15">
        <v>2</v>
      </c>
      <c r="AC7" s="15">
        <v>2</v>
      </c>
      <c r="AD7" s="15">
        <v>0</v>
      </c>
    </row>
    <row r="8" spans="2:30">
      <c r="B8" s="48"/>
      <c r="C8" s="73" t="s">
        <v>73</v>
      </c>
      <c r="D8" s="74">
        <v>25</v>
      </c>
      <c r="E8" s="74">
        <f>D8*20000</f>
        <v>500000</v>
      </c>
      <c r="F8" s="74" t="str">
        <f>Investigación!E7</f>
        <v>D</v>
      </c>
      <c r="G8" s="75" t="s">
        <v>3</v>
      </c>
      <c r="H8" s="76">
        <f>0.25*D8</f>
        <v>6.25</v>
      </c>
      <c r="I8" s="53"/>
      <c r="K8" s="48"/>
      <c r="L8" s="77" t="s">
        <v>105</v>
      </c>
      <c r="M8" s="99">
        <v>2.5</v>
      </c>
      <c r="N8" s="99" t="s">
        <v>224</v>
      </c>
      <c r="O8" s="99">
        <v>1</v>
      </c>
      <c r="P8" s="99"/>
      <c r="Q8" s="219">
        <f t="shared" si="0"/>
        <v>3.5</v>
      </c>
      <c r="R8" s="99" t="s">
        <v>261</v>
      </c>
      <c r="S8" s="99"/>
      <c r="T8" s="120">
        <f>IF(S8&lt;&gt;"",IF(N8="si",((M8+O8)*(Importación!$E$2*0.4))+(M8*Importación!$N$2*0.1)+((0.2*Importación!$N$2+0.05*Importación!$E$2)*P8),((M8+O8)*(Importación!$E$2*0.4))+((0.2*Importación!$N$2+0.05*Importación!$E$2)*P8)),0)</f>
        <v>0</v>
      </c>
      <c r="U8" s="53"/>
      <c r="V8" s="1" t="str">
        <f t="shared" si="1"/>
        <v/>
      </c>
      <c r="X8" s="67" t="s">
        <v>84</v>
      </c>
      <c r="Y8" s="15">
        <v>6</v>
      </c>
      <c r="Z8" s="15">
        <v>5</v>
      </c>
      <c r="AA8" s="15">
        <v>5</v>
      </c>
      <c r="AB8" s="15">
        <v>4</v>
      </c>
      <c r="AC8" s="15">
        <v>4</v>
      </c>
      <c r="AD8" s="15">
        <v>4</v>
      </c>
    </row>
    <row r="9" spans="2:30">
      <c r="B9" s="48"/>
      <c r="C9" s="73" t="s">
        <v>74</v>
      </c>
      <c r="D9" s="74">
        <v>8</v>
      </c>
      <c r="E9" s="74">
        <f>D9*10000</f>
        <v>80000</v>
      </c>
      <c r="F9" s="74" t="str">
        <f>Investigación!E8</f>
        <v>D</v>
      </c>
      <c r="G9" s="75" t="s">
        <v>121</v>
      </c>
      <c r="H9" s="76">
        <f>2*D9</f>
        <v>16</v>
      </c>
      <c r="I9" s="53"/>
      <c r="K9" s="48"/>
      <c r="L9" s="77" t="s">
        <v>106</v>
      </c>
      <c r="M9" s="99">
        <v>1</v>
      </c>
      <c r="N9" s="99" t="s">
        <v>224</v>
      </c>
      <c r="O9" s="99">
        <v>0</v>
      </c>
      <c r="P9" s="99"/>
      <c r="Q9" s="219">
        <f t="shared" si="0"/>
        <v>1</v>
      </c>
      <c r="R9" s="99" t="s">
        <v>262</v>
      </c>
      <c r="S9" s="99"/>
      <c r="T9" s="120">
        <f>IF(S9&lt;&gt;"",IF(N9="si",((M9+O9)*(Importación!$E$2*0.4))+(M9*Importación!$N$2*0.1)+((0.2*Importación!$N$2+0.05*Importación!$E$2)*P9),((M9+O9)*(Importación!$E$2*0.4))+((0.2*Importación!$N$2+0.05*Importación!$E$2)*P9)),0)</f>
        <v>0</v>
      </c>
      <c r="U9" s="53"/>
      <c r="V9" s="1" t="str">
        <f t="shared" si="1"/>
        <v/>
      </c>
      <c r="X9" s="67"/>
      <c r="Y9" s="15"/>
      <c r="Z9" s="15"/>
      <c r="AA9" s="15"/>
      <c r="AB9" s="15"/>
      <c r="AC9" s="15"/>
      <c r="AD9" s="15"/>
    </row>
    <row r="10" spans="2:30" ht="13.5" thickBot="1">
      <c r="B10" s="48"/>
      <c r="C10" s="78" t="s">
        <v>87</v>
      </c>
      <c r="D10" s="79">
        <v>0</v>
      </c>
      <c r="E10" s="79">
        <f>D10*5000</f>
        <v>0</v>
      </c>
      <c r="F10" s="80" t="str">
        <f>Investigación!E9</f>
        <v>D</v>
      </c>
      <c r="G10" s="81" t="s">
        <v>4</v>
      </c>
      <c r="H10" s="82">
        <f>4*D10</f>
        <v>0</v>
      </c>
      <c r="I10" s="53"/>
      <c r="K10" s="48"/>
      <c r="L10" s="77" t="s">
        <v>107</v>
      </c>
      <c r="M10" s="99">
        <v>0.5</v>
      </c>
      <c r="N10" s="99" t="s">
        <v>224</v>
      </c>
      <c r="O10" s="99">
        <v>0</v>
      </c>
      <c r="P10" s="99"/>
      <c r="Q10" s="219">
        <f t="shared" si="0"/>
        <v>0.5</v>
      </c>
      <c r="R10" s="99" t="s">
        <v>263</v>
      </c>
      <c r="S10" s="99"/>
      <c r="T10" s="120">
        <f>IF(S10&lt;&gt;"",IF(N10="si",((M10+O10)*(Importación!$E$2*0.4))+(M10*Importación!$N$2*0.1)+((0.2*Importación!$N$2+0.05*Importación!$E$2)*P10),((M10+O10)*(Importación!$E$2*0.4))+((0.2*Importación!$N$2+0.05*Importación!$E$2)*P10)),0)</f>
        <v>0</v>
      </c>
      <c r="U10" s="53"/>
      <c r="V10" s="1" t="str">
        <f t="shared" si="1"/>
        <v/>
      </c>
      <c r="X10" s="14"/>
      <c r="Y10" s="15"/>
      <c r="Z10" s="15"/>
      <c r="AA10" s="15"/>
      <c r="AB10" s="15"/>
      <c r="AC10" s="15"/>
      <c r="AD10" s="15"/>
    </row>
    <row r="11" spans="2:30" ht="14.25" thickTop="1" thickBot="1">
      <c r="B11" s="48"/>
      <c r="C11" s="83" t="s">
        <v>1</v>
      </c>
      <c r="D11" s="80">
        <f>SUM(D7:D10)</f>
        <v>51</v>
      </c>
      <c r="E11" s="84">
        <f>SUM(E7:E10)</f>
        <v>940000</v>
      </c>
      <c r="F11" s="9"/>
      <c r="G11" s="9"/>
      <c r="H11" s="85">
        <f>SUM(H7:H10)</f>
        <v>40.25</v>
      </c>
      <c r="I11" s="53"/>
      <c r="K11" s="48"/>
      <c r="L11" s="77" t="s">
        <v>108</v>
      </c>
      <c r="M11" s="99">
        <v>3</v>
      </c>
      <c r="N11" s="99" t="s">
        <v>224</v>
      </c>
      <c r="O11" s="99">
        <v>0</v>
      </c>
      <c r="P11" s="99"/>
      <c r="Q11" s="219">
        <f t="shared" si="0"/>
        <v>3</v>
      </c>
      <c r="R11" s="99" t="s">
        <v>152</v>
      </c>
      <c r="S11" s="99"/>
      <c r="T11" s="120">
        <f>IF(S11&lt;&gt;"",IF(N11="si",((M11+O11)*(Importación!$E$2*0.4))+(M11*Importación!$N$2*0.1)+((0.2*Importación!$N$2+0.05*Importación!$E$2)*P11),((M11+O11)*(Importación!$E$2*0.4))+((0.2*Importación!$N$2+0.05*Importación!$E$2)*P11)),0)</f>
        <v>0</v>
      </c>
      <c r="U11" s="53"/>
      <c r="V11" s="1" t="str">
        <f t="shared" si="1"/>
        <v/>
      </c>
      <c r="X11" s="86" t="s">
        <v>140</v>
      </c>
      <c r="Y11" s="87">
        <v>0.5</v>
      </c>
      <c r="Z11" s="87">
        <v>0.5</v>
      </c>
      <c r="AA11" s="87">
        <v>0.375</v>
      </c>
      <c r="AB11" s="87">
        <v>0.375</v>
      </c>
      <c r="AC11" s="87">
        <v>0.375</v>
      </c>
      <c r="AD11" s="87">
        <v>0.375</v>
      </c>
    </row>
    <row r="12" spans="2:30" ht="13.5" thickTop="1">
      <c r="B12" s="48"/>
      <c r="C12" s="279" t="s">
        <v>86</v>
      </c>
      <c r="D12" s="278"/>
      <c r="E12" s="278"/>
      <c r="F12" s="278"/>
      <c r="G12" s="278"/>
      <c r="H12" s="280"/>
      <c r="I12" s="53"/>
      <c r="K12" s="48"/>
      <c r="L12" s="77" t="s">
        <v>109</v>
      </c>
      <c r="M12" s="99"/>
      <c r="N12" s="99"/>
      <c r="O12" s="99"/>
      <c r="P12" s="99"/>
      <c r="Q12" s="219">
        <f t="shared" si="0"/>
        <v>0</v>
      </c>
      <c r="R12" s="99"/>
      <c r="S12" s="99"/>
      <c r="T12" s="120">
        <f>IF(S12&lt;&gt;"",IF(N12="si",((M12+O12)*(Importación!$E$2*0.4))+(M12*Importación!$N$2*0.1)+((0.2*Importación!$N$2+0.05*Importación!$E$2)*P12),((M12+O12)*(Importación!$E$2*0.4))+((0.2*Importación!$N$2+0.05*Importación!$E$2)*P12)),0)</f>
        <v>0</v>
      </c>
      <c r="U12" s="53"/>
      <c r="V12" s="1" t="str">
        <f t="shared" si="1"/>
        <v/>
      </c>
      <c r="X12" s="86" t="s">
        <v>123</v>
      </c>
      <c r="Y12" s="87">
        <v>0.5</v>
      </c>
      <c r="Z12" s="87">
        <v>0.5</v>
      </c>
      <c r="AA12" s="87">
        <v>0.375</v>
      </c>
      <c r="AB12" s="87">
        <v>0.375</v>
      </c>
      <c r="AC12" s="87">
        <v>0.375</v>
      </c>
      <c r="AD12" s="87">
        <v>0.375</v>
      </c>
    </row>
    <row r="13" spans="2:30">
      <c r="B13" s="48"/>
      <c r="C13" s="68"/>
      <c r="D13" s="69" t="s">
        <v>79</v>
      </c>
      <c r="E13" s="69" t="s">
        <v>75</v>
      </c>
      <c r="F13" s="69" t="s">
        <v>77</v>
      </c>
      <c r="G13" s="70" t="s">
        <v>80</v>
      </c>
      <c r="H13" s="71" t="s">
        <v>116</v>
      </c>
      <c r="I13" s="53"/>
      <c r="K13" s="48"/>
      <c r="L13" s="77" t="s">
        <v>110</v>
      </c>
      <c r="M13" s="99"/>
      <c r="N13" s="99"/>
      <c r="O13" s="99"/>
      <c r="P13" s="99"/>
      <c r="Q13" s="219">
        <f t="shared" si="0"/>
        <v>0</v>
      </c>
      <c r="R13" s="99"/>
      <c r="S13" s="99"/>
      <c r="T13" s="120">
        <f>IF(S13&lt;&gt;"",IF(N13="si",((M13+O13)*(Importación!$E$2*0.4))+(M13*Importación!$N$2*0.1)+((0.2*Importación!$N$2+0.05*Importación!$E$2)*P13),((M13+O13)*(Importación!$E$2*0.4))+((0.2*Importación!$N$2+0.05*Importación!$E$2)*P13)),0)</f>
        <v>0</v>
      </c>
      <c r="U13" s="53"/>
      <c r="V13" s="1" t="str">
        <f t="shared" si="1"/>
        <v/>
      </c>
      <c r="X13" s="86" t="s">
        <v>125</v>
      </c>
      <c r="Y13" s="87">
        <v>2</v>
      </c>
      <c r="Z13" s="87">
        <v>1.75</v>
      </c>
      <c r="AA13" s="87">
        <v>1.75</v>
      </c>
      <c r="AB13" s="87">
        <v>1.5</v>
      </c>
      <c r="AC13" s="87">
        <v>1.5</v>
      </c>
      <c r="AD13" s="87">
        <v>1.5</v>
      </c>
    </row>
    <row r="14" spans="2:30">
      <c r="B14" s="48"/>
      <c r="C14" s="73" t="s">
        <v>81</v>
      </c>
      <c r="D14" s="74">
        <v>30</v>
      </c>
      <c r="E14" s="74">
        <f>D14*1000</f>
        <v>30000</v>
      </c>
      <c r="F14" s="74" t="str">
        <f>Investigación!E10</f>
        <v>D</v>
      </c>
      <c r="G14" s="75" t="s">
        <v>3</v>
      </c>
      <c r="H14" s="76">
        <f>0.7*D14</f>
        <v>21</v>
      </c>
      <c r="I14" s="53"/>
      <c r="K14" s="48"/>
      <c r="L14" s="77" t="s">
        <v>111</v>
      </c>
      <c r="M14" s="99"/>
      <c r="N14" s="99"/>
      <c r="O14" s="99"/>
      <c r="P14" s="99"/>
      <c r="Q14" s="219">
        <f t="shared" si="0"/>
        <v>0</v>
      </c>
      <c r="R14" s="99"/>
      <c r="S14" s="99"/>
      <c r="T14" s="120">
        <f>IF(S14&lt;&gt;"",IF(N14="si",((M14+O14)*(Importación!$E$2*0.4))+(M14*Importación!$N$2*0.1)+((0.2*Importación!$N$2+0.05*Importación!$E$2)*P14),((M14+O14)*(Importación!$E$2*0.4))+((0.2*Importación!$N$2+0.05*Importación!$E$2)*P14)),0)</f>
        <v>0</v>
      </c>
      <c r="U14" s="53"/>
      <c r="V14" s="1" t="str">
        <f t="shared" si="1"/>
        <v/>
      </c>
      <c r="X14" s="86" t="s">
        <v>124</v>
      </c>
      <c r="Y14" s="87">
        <v>9</v>
      </c>
      <c r="Z14" s="87">
        <v>8</v>
      </c>
      <c r="AA14" s="87">
        <v>7</v>
      </c>
      <c r="AB14" s="87">
        <v>6</v>
      </c>
      <c r="AC14" s="87">
        <v>6</v>
      </c>
      <c r="AD14" s="87">
        <v>6</v>
      </c>
    </row>
    <row r="15" spans="2:30">
      <c r="B15" s="48"/>
      <c r="C15" s="73" t="s">
        <v>82</v>
      </c>
      <c r="D15" s="74">
        <v>58</v>
      </c>
      <c r="E15" s="74">
        <f>D15*500</f>
        <v>29000</v>
      </c>
      <c r="F15" s="74" t="str">
        <f>Investigación!E11</f>
        <v>D</v>
      </c>
      <c r="G15" s="75" t="s">
        <v>3</v>
      </c>
      <c r="H15" s="76">
        <f>0.5*D15</f>
        <v>29</v>
      </c>
      <c r="I15" s="53"/>
      <c r="K15" s="48"/>
      <c r="L15" s="77" t="s">
        <v>112</v>
      </c>
      <c r="M15" s="99"/>
      <c r="N15" s="99"/>
      <c r="O15" s="99"/>
      <c r="P15" s="99"/>
      <c r="Q15" s="219">
        <f t="shared" ref="Q15:Q24" si="2">M15+O15+P15</f>
        <v>0</v>
      </c>
      <c r="R15" s="99"/>
      <c r="S15" s="99"/>
      <c r="T15" s="120">
        <f>IF(S15&lt;&gt;"",IF(N15="si",((M15+O15)*(Importación!$E$2*0.4))+(M15*Importación!$N$2*0.1)+((0.2*Importación!$N$2+0.05*Importación!$E$2)*P15),((M15+O15)*(Importación!$E$2*0.4))+((0.2*Importación!$N$2+0.05*Importación!$E$2)*P15)),0)</f>
        <v>0</v>
      </c>
      <c r="U15" s="53"/>
      <c r="V15" s="1" t="str">
        <f t="shared" si="1"/>
        <v/>
      </c>
    </row>
    <row r="16" spans="2:30">
      <c r="B16" s="48"/>
      <c r="C16" s="73" t="s">
        <v>83</v>
      </c>
      <c r="D16" s="74">
        <v>135</v>
      </c>
      <c r="E16" s="74">
        <f>D16*200</f>
        <v>27000</v>
      </c>
      <c r="F16" s="74" t="str">
        <f>Investigación!E12</f>
        <v>D</v>
      </c>
      <c r="G16" s="75" t="s">
        <v>3</v>
      </c>
      <c r="H16" s="76">
        <f>0.2*D16</f>
        <v>27</v>
      </c>
      <c r="I16" s="53"/>
      <c r="K16" s="48"/>
      <c r="L16" s="77" t="s">
        <v>230</v>
      </c>
      <c r="M16" s="99"/>
      <c r="N16" s="99"/>
      <c r="O16" s="99"/>
      <c r="P16" s="99"/>
      <c r="Q16" s="219">
        <f t="shared" si="2"/>
        <v>0</v>
      </c>
      <c r="R16" s="99"/>
      <c r="S16" s="99"/>
      <c r="T16" s="120">
        <f>IF(S16&lt;&gt;"",IF(N16="si",((M16+O16)*(Importación!$E$2*0.4))+(M16*Importación!$N$2*0.1)+((0.2*Importación!$N$2+0.05*Importación!$E$2)*P16),((M16+O16)*(Importación!$E$2*0.4))+((0.2*Importación!$N$2+0.05*Importación!$E$2)*P16)),0)</f>
        <v>0</v>
      </c>
      <c r="U16" s="53"/>
      <c r="V16" s="1" t="str">
        <f t="shared" si="1"/>
        <v/>
      </c>
    </row>
    <row r="17" spans="2:22">
      <c r="B17" s="48"/>
      <c r="C17" s="73" t="s">
        <v>84</v>
      </c>
      <c r="D17" s="74">
        <v>0</v>
      </c>
      <c r="E17" s="74">
        <f>D17*70</f>
        <v>0</v>
      </c>
      <c r="F17" s="74" t="str">
        <f>Investigación!E13</f>
        <v>D</v>
      </c>
      <c r="G17" s="75" t="s">
        <v>4</v>
      </c>
      <c r="H17" s="76">
        <f>0.5*D17</f>
        <v>0</v>
      </c>
      <c r="I17" s="53"/>
      <c r="K17" s="48"/>
      <c r="L17" s="77" t="s">
        <v>231</v>
      </c>
      <c r="M17" s="99"/>
      <c r="N17" s="99"/>
      <c r="O17" s="99"/>
      <c r="P17" s="99"/>
      <c r="Q17" s="219">
        <f t="shared" si="2"/>
        <v>0</v>
      </c>
      <c r="R17" s="99"/>
      <c r="S17" s="99"/>
      <c r="T17" s="120">
        <f>IF(S17&lt;&gt;"",IF(N17="si",((M17+O17)*(Importación!$E$2*0.4))+(M17*Importación!$N$2*0.1)+((0.2*Importación!$N$2+0.05*Importación!$E$2)*P17),((M17+O17)*(Importación!$E$2*0.4))+((0.2*Importación!$N$2+0.05*Importación!$E$2)*P17)),0)</f>
        <v>0</v>
      </c>
      <c r="U17" s="53"/>
      <c r="V17" s="1" t="str">
        <f t="shared" si="1"/>
        <v/>
      </c>
    </row>
    <row r="18" spans="2:22" ht="13.5" thickBot="1">
      <c r="B18" s="48"/>
      <c r="C18" s="89" t="s">
        <v>85</v>
      </c>
      <c r="D18" s="79">
        <v>4</v>
      </c>
      <c r="E18" s="79">
        <f>D18*100</f>
        <v>400</v>
      </c>
      <c r="F18" s="80" t="str">
        <f>Investigación!E14</f>
        <v>D</v>
      </c>
      <c r="G18" s="81" t="str">
        <f>Investigación!E33</f>
        <v>----</v>
      </c>
      <c r="H18" s="82">
        <f>0.2*D18</f>
        <v>0.8</v>
      </c>
      <c r="I18" s="53"/>
      <c r="K18" s="48"/>
      <c r="L18" s="77" t="s">
        <v>232</v>
      </c>
      <c r="M18" s="99"/>
      <c r="N18" s="99"/>
      <c r="O18" s="99"/>
      <c r="P18" s="99"/>
      <c r="Q18" s="219">
        <f t="shared" si="2"/>
        <v>0</v>
      </c>
      <c r="R18" s="99"/>
      <c r="S18" s="99"/>
      <c r="T18" s="120">
        <f>IF(S18&lt;&gt;"",IF(N18="si",((M18+O18)*(Importación!$E$2*0.4))+(M18*Importación!$N$2*0.1)+((0.2*Importación!$N$2+0.05*Importación!$E$2)*P18),((M18+O18)*(Importación!$E$2*0.4))+((0.2*Importación!$N$2+0.05*Importación!$E$2)*P18)),0)</f>
        <v>0</v>
      </c>
      <c r="U18" s="53"/>
      <c r="V18" s="1" t="str">
        <f t="shared" si="1"/>
        <v/>
      </c>
    </row>
    <row r="19" spans="2:22" ht="14.25" thickTop="1" thickBot="1">
      <c r="B19" s="48"/>
      <c r="C19" s="83" t="s">
        <v>1</v>
      </c>
      <c r="D19" s="80">
        <f>SUM(D14:D18)</f>
        <v>227</v>
      </c>
      <c r="E19" s="84">
        <f>SUM(E14:E18)</f>
        <v>86400</v>
      </c>
      <c r="F19" s="9"/>
      <c r="G19" s="9"/>
      <c r="H19" s="85">
        <f>SUM(H14:H18)</f>
        <v>77.8</v>
      </c>
      <c r="I19" s="53"/>
      <c r="K19" s="48"/>
      <c r="L19" s="77" t="s">
        <v>233</v>
      </c>
      <c r="M19" s="99"/>
      <c r="N19" s="99"/>
      <c r="O19" s="99"/>
      <c r="P19" s="99"/>
      <c r="Q19" s="219">
        <f t="shared" si="2"/>
        <v>0</v>
      </c>
      <c r="R19" s="99"/>
      <c r="S19" s="99"/>
      <c r="T19" s="120">
        <f>IF(S19&lt;&gt;"",IF(N19="si",((M19+O19)*(Importación!$E$2*0.4))+(M19*Importación!$N$2*0.1)+((0.2*Importación!$N$2+0.05*Importación!$E$2)*P19),((M19+O19)*(Importación!$E$2*0.4))+((0.2*Importación!$N$2+0.05*Importación!$E$2)*P19)),0)</f>
        <v>0</v>
      </c>
      <c r="U19" s="53"/>
      <c r="V19" s="1" t="str">
        <f t="shared" si="1"/>
        <v/>
      </c>
    </row>
    <row r="20" spans="2:22" ht="13.5" thickTop="1">
      <c r="B20" s="48"/>
      <c r="C20" s="49"/>
      <c r="D20" s="49"/>
      <c r="E20" s="49"/>
      <c r="F20" s="49"/>
      <c r="G20" s="49"/>
      <c r="H20" s="49"/>
      <c r="I20" s="53"/>
      <c r="K20" s="48"/>
      <c r="L20" s="77" t="s">
        <v>235</v>
      </c>
      <c r="M20" s="99"/>
      <c r="N20" s="99"/>
      <c r="O20" s="99"/>
      <c r="P20" s="99"/>
      <c r="Q20" s="219">
        <f t="shared" si="2"/>
        <v>0</v>
      </c>
      <c r="R20" s="99"/>
      <c r="S20" s="99"/>
      <c r="T20" s="120">
        <f>IF(S20&lt;&gt;"",IF(N20="si",((M20+O20)*(Importación!$E$2*0.4))+(M20*Importación!$N$2*0.1)+((0.2*Importación!$N$2+0.05*Importación!$E$2)*P20),((M20+O20)*(Importación!$E$2*0.4))+((0.2*Importación!$N$2+0.05*Importación!$E$2)*P20)),0)</f>
        <v>0</v>
      </c>
      <c r="U20" s="53"/>
      <c r="V20" s="1" t="str">
        <f t="shared" si="1"/>
        <v/>
      </c>
    </row>
    <row r="21" spans="2:22" ht="13.5" thickBot="1">
      <c r="B21" s="59"/>
      <c r="C21" s="60"/>
      <c r="D21" s="60"/>
      <c r="E21" s="60"/>
      <c r="F21" s="60"/>
      <c r="G21" s="60"/>
      <c r="H21" s="60"/>
      <c r="I21" s="62"/>
      <c r="K21" s="48"/>
      <c r="L21" s="77" t="s">
        <v>234</v>
      </c>
      <c r="M21" s="99"/>
      <c r="N21" s="99"/>
      <c r="O21" s="99"/>
      <c r="P21" s="99"/>
      <c r="Q21" s="219">
        <f t="shared" si="2"/>
        <v>0</v>
      </c>
      <c r="R21" s="99"/>
      <c r="S21" s="99"/>
      <c r="T21" s="120">
        <f>IF(S21&lt;&gt;"",IF(N21="si",((M21+O21)*(Importación!$E$2*0.4))+(M21*Importación!$N$2*0.1)+((0.2*Importación!$N$2+0.05*Importación!$E$2)*P21),((M21+O21)*(Importación!$E$2*0.4))+((0.2*Importación!$N$2+0.05*Importación!$E$2)*P21)),0)</f>
        <v>0</v>
      </c>
      <c r="U21" s="53"/>
      <c r="V21" s="1" t="str">
        <f t="shared" si="1"/>
        <v/>
      </c>
    </row>
    <row r="22" spans="2:22">
      <c r="K22" s="48"/>
      <c r="L22" s="77" t="s">
        <v>236</v>
      </c>
      <c r="M22" s="99"/>
      <c r="N22" s="99"/>
      <c r="O22" s="99"/>
      <c r="P22" s="99"/>
      <c r="Q22" s="219">
        <f>M22+O22+P22</f>
        <v>0</v>
      </c>
      <c r="R22" s="99"/>
      <c r="S22" s="99"/>
      <c r="T22" s="120">
        <f>IF(S22&lt;&gt;"",IF(N22="si",((M22+O22)*(Importación!$E$2*0.4))+(M22*Importación!$N$2*0.1)+((0.2*Importación!$N$2+0.05*Importación!$E$2)*P22),((M22+O22)*(Importación!$E$2*0.4))+((0.2*Importación!$N$2+0.05*Importación!$E$2)*P22)),0)</f>
        <v>0</v>
      </c>
      <c r="U22" s="53"/>
      <c r="V22" s="1" t="str">
        <f t="shared" si="1"/>
        <v/>
      </c>
    </row>
    <row r="23" spans="2:22" ht="13.5" thickBot="1">
      <c r="K23" s="48"/>
      <c r="L23" s="77" t="s">
        <v>237</v>
      </c>
      <c r="M23" s="99"/>
      <c r="N23" s="99"/>
      <c r="O23" s="99"/>
      <c r="P23" s="99"/>
      <c r="Q23" s="219">
        <f>M23+O23+P23</f>
        <v>0</v>
      </c>
      <c r="R23" s="99"/>
      <c r="S23" s="99"/>
      <c r="T23" s="120">
        <f>IF(S23&lt;&gt;"",IF(N23="si",((M23+O23)*(Importación!$E$2*0.4))+(M23*Importación!$N$2*0.1)+((0.2*Importación!$N$2+0.05*Importación!$E$2)*P23),((M23+O23)*(Importación!$E$2*0.4))+((0.2*Importación!$N$2+0.05*Importación!$E$2)*P23)),0)</f>
        <v>0</v>
      </c>
      <c r="U23" s="53"/>
      <c r="V23" s="1" t="str">
        <f t="shared" si="1"/>
        <v/>
      </c>
    </row>
    <row r="24" spans="2:22">
      <c r="B24" s="44"/>
      <c r="C24" s="45"/>
      <c r="D24" s="45"/>
      <c r="E24" s="45"/>
      <c r="F24" s="45"/>
      <c r="G24" s="45"/>
      <c r="H24" s="45"/>
      <c r="I24" s="47"/>
      <c r="K24" s="48"/>
      <c r="L24" s="77" t="s">
        <v>238</v>
      </c>
      <c r="M24" s="99"/>
      <c r="N24" s="99"/>
      <c r="O24" s="99"/>
      <c r="P24" s="99"/>
      <c r="Q24" s="219">
        <f t="shared" si="2"/>
        <v>0</v>
      </c>
      <c r="R24" s="99"/>
      <c r="S24" s="99"/>
      <c r="T24" s="120">
        <f>IF(S24&lt;&gt;"",IF(N24="si",((M24+O24)*(Importación!$E$2*0.4))+(M24*Importación!$N$2*0.1)+((0.2*Importación!$N$2+0.05*Importación!$E$2)*P24),((M24+O24)*(Importación!$E$2*0.4))+((0.2*Importación!$N$2+0.05*Importación!$E$2)*P24)),0)</f>
        <v>0</v>
      </c>
      <c r="U24" s="53"/>
      <c r="V24" s="1" t="str">
        <f t="shared" si="1"/>
        <v/>
      </c>
    </row>
    <row r="25" spans="2:22" ht="13.5" thickBot="1">
      <c r="B25" s="48"/>
      <c r="C25" s="278" t="s">
        <v>117</v>
      </c>
      <c r="D25" s="278"/>
      <c r="E25" s="278"/>
      <c r="F25" s="278"/>
      <c r="G25" s="278"/>
      <c r="H25" s="284"/>
      <c r="I25" s="53"/>
      <c r="K25" s="48"/>
      <c r="L25" s="88" t="s">
        <v>239</v>
      </c>
      <c r="M25" s="101"/>
      <c r="N25" s="101"/>
      <c r="O25" s="101"/>
      <c r="P25" s="101"/>
      <c r="Q25" s="220">
        <f t="shared" si="0"/>
        <v>0</v>
      </c>
      <c r="R25" s="101"/>
      <c r="S25" s="101"/>
      <c r="T25" s="136">
        <f>IF(S25&lt;&gt;"",IF(N25="si",((M25+O25)*(Importación!$E$2*0.4))+(M25*Importación!$N$2*0.1)+((0.2*Importación!$N$2+0.05*Importación!$E$2)*P25),((M25+O25)*(Importación!$E$2*0.4))+((0.2*Importación!$N$2+0.05*Importación!$E$2)*P25)),0)</f>
        <v>0</v>
      </c>
      <c r="U25" s="53"/>
      <c r="V25" s="1" t="str">
        <f t="shared" si="1"/>
        <v/>
      </c>
    </row>
    <row r="26" spans="2:22" ht="14.25" thickTop="1" thickBot="1">
      <c r="B26" s="48"/>
      <c r="C26" s="49"/>
      <c r="D26" s="49"/>
      <c r="E26" s="49"/>
      <c r="F26" s="49"/>
      <c r="G26" s="49"/>
      <c r="H26" s="49"/>
      <c r="I26" s="53"/>
      <c r="K26" s="48"/>
      <c r="L26" s="49"/>
      <c r="M26" s="217">
        <f t="shared" ref="M26:T26" si="3">SUM(M6:M25)</f>
        <v>18</v>
      </c>
      <c r="N26" s="217">
        <f t="shared" si="3"/>
        <v>0</v>
      </c>
      <c r="O26" s="217">
        <f t="shared" si="3"/>
        <v>8</v>
      </c>
      <c r="P26" s="217">
        <f t="shared" si="3"/>
        <v>0</v>
      </c>
      <c r="Q26" s="217">
        <f t="shared" si="3"/>
        <v>26</v>
      </c>
      <c r="R26" s="217">
        <f t="shared" si="3"/>
        <v>0</v>
      </c>
      <c r="S26" s="217">
        <f t="shared" si="3"/>
        <v>0</v>
      </c>
      <c r="T26" s="217">
        <f t="shared" si="3"/>
        <v>0</v>
      </c>
      <c r="U26" s="53"/>
    </row>
    <row r="27" spans="2:22" ht="13.5" thickTop="1">
      <c r="B27" s="48"/>
      <c r="C27" s="281" t="s">
        <v>78</v>
      </c>
      <c r="D27" s="282"/>
      <c r="E27" s="282"/>
      <c r="F27" s="282"/>
      <c r="G27" s="282"/>
      <c r="H27" s="283"/>
      <c r="I27" s="53"/>
      <c r="K27" s="48"/>
      <c r="L27" s="49"/>
      <c r="M27" s="9"/>
      <c r="N27" s="9"/>
      <c r="O27" s="9"/>
      <c r="P27" s="9"/>
      <c r="Q27" s="9"/>
      <c r="R27" s="9"/>
      <c r="S27" s="9"/>
      <c r="T27" s="9"/>
      <c r="U27" s="53"/>
    </row>
    <row r="28" spans="2:22">
      <c r="B28" s="48"/>
      <c r="C28" s="68"/>
      <c r="D28" s="69" t="s">
        <v>76</v>
      </c>
      <c r="E28" s="69" t="s">
        <v>49</v>
      </c>
      <c r="F28" s="69" t="s">
        <v>119</v>
      </c>
      <c r="G28" s="70" t="s">
        <v>44</v>
      </c>
      <c r="H28" s="71" t="s">
        <v>118</v>
      </c>
      <c r="I28" s="53"/>
      <c r="K28" s="48"/>
      <c r="L28" s="49"/>
      <c r="M28" s="278" t="s">
        <v>102</v>
      </c>
      <c r="N28" s="278"/>
      <c r="O28" s="278"/>
      <c r="P28" s="278"/>
      <c r="Q28" s="278"/>
      <c r="R28" s="278"/>
      <c r="S28" s="9"/>
      <c r="T28" s="9"/>
      <c r="U28" s="53"/>
    </row>
    <row r="29" spans="2:22" ht="13.5" thickBot="1">
      <c r="B29" s="48"/>
      <c r="C29" s="73" t="s">
        <v>72</v>
      </c>
      <c r="D29" s="99"/>
      <c r="E29" s="74">
        <f>0.125*$D$29</f>
        <v>0</v>
      </c>
      <c r="F29" s="74">
        <f>0.125*$D$29</f>
        <v>0</v>
      </c>
      <c r="G29" s="74">
        <f>0.125*$D$29</f>
        <v>0</v>
      </c>
      <c r="H29" s="76">
        <f>D29*($Z$2+HLOOKUP($G$7,$Y$4:$AD$14,8,0)*3/4+HLOOKUP($G$7,$Y$4:$AD$14,10,0)/4)</f>
        <v>0</v>
      </c>
      <c r="I29" s="53"/>
      <c r="K29" s="48"/>
      <c r="L29" s="49"/>
      <c r="M29" s="9"/>
      <c r="N29" s="9"/>
      <c r="O29" s="9"/>
      <c r="P29" s="9"/>
      <c r="Q29" s="9"/>
      <c r="R29" s="9"/>
      <c r="S29" s="9"/>
      <c r="T29" s="9"/>
      <c r="U29" s="53"/>
    </row>
    <row r="30" spans="2:22" ht="14.25" thickTop="1" thickBot="1">
      <c r="B30" s="48"/>
      <c r="C30" s="73" t="s">
        <v>73</v>
      </c>
      <c r="D30" s="99"/>
      <c r="E30" s="74">
        <f>0.125*$D$30</f>
        <v>0</v>
      </c>
      <c r="F30" s="74">
        <f>0.125*$D$30</f>
        <v>0</v>
      </c>
      <c r="G30" s="74">
        <f>0.125*$D$30</f>
        <v>0</v>
      </c>
      <c r="H30" s="76">
        <f>D30*($Z$2+HLOOKUP($G$7,$Y$4:$AD$14,8,0)*3/4+HLOOKUP($G$7,$Y$4:$AD$14,10,0)/4)</f>
        <v>0</v>
      </c>
      <c r="I30" s="53"/>
      <c r="K30" s="48"/>
      <c r="L30" s="49"/>
      <c r="M30" s="64" t="s">
        <v>81</v>
      </c>
      <c r="N30" s="65" t="s">
        <v>82</v>
      </c>
      <c r="O30" s="65" t="s">
        <v>89</v>
      </c>
      <c r="P30" s="65" t="s">
        <v>84</v>
      </c>
      <c r="Q30" s="65" t="s">
        <v>85</v>
      </c>
      <c r="R30" s="65" t="s">
        <v>90</v>
      </c>
      <c r="S30" s="65" t="s">
        <v>91</v>
      </c>
      <c r="T30" s="66" t="s">
        <v>136</v>
      </c>
      <c r="U30" s="53"/>
    </row>
    <row r="31" spans="2:22" ht="13.5" thickTop="1">
      <c r="B31" s="48"/>
      <c r="C31" s="73" t="s">
        <v>74</v>
      </c>
      <c r="D31" s="99"/>
      <c r="E31" s="74">
        <f>0.25*$D$31</f>
        <v>0</v>
      </c>
      <c r="F31" s="74">
        <f>0.25*$D$31</f>
        <v>0</v>
      </c>
      <c r="G31" s="74">
        <f>0.25*$D$31</f>
        <v>0</v>
      </c>
      <c r="H31" s="76">
        <f>D31*($Z$2+HLOOKUP($G$7,$Y$4:$AD$14,8,0))</f>
        <v>0</v>
      </c>
      <c r="I31" s="53"/>
      <c r="K31" s="48"/>
      <c r="L31" s="72" t="s">
        <v>92</v>
      </c>
      <c r="M31" s="99">
        <v>10</v>
      </c>
      <c r="N31" s="99">
        <v>20</v>
      </c>
      <c r="O31" s="99">
        <v>40</v>
      </c>
      <c r="P31" s="99"/>
      <c r="Q31" s="99"/>
      <c r="R31" s="99" t="s">
        <v>264</v>
      </c>
      <c r="S31" s="99"/>
      <c r="T31" s="120">
        <f>IF(S31&lt;&gt;"",M31*1.2+(N31+P31)*0.6+(O31+Q31)*0.3,0)</f>
        <v>0</v>
      </c>
      <c r="U31" s="53"/>
    </row>
    <row r="32" spans="2:22">
      <c r="B32" s="48"/>
      <c r="C32" s="78" t="s">
        <v>87</v>
      </c>
      <c r="D32" s="142"/>
      <c r="E32" s="79">
        <f>0.5*$D$32</f>
        <v>0</v>
      </c>
      <c r="F32" s="79">
        <f>0.5*$D$32</f>
        <v>0</v>
      </c>
      <c r="G32" s="79">
        <f>0.5*$D$32</f>
        <v>0</v>
      </c>
      <c r="H32" s="82">
        <f>D32*($Z$2+HLOOKUP($G$7,$Y$4:$AD$14,11,0))</f>
        <v>0</v>
      </c>
      <c r="I32" s="53"/>
      <c r="K32" s="48"/>
      <c r="L32" s="77" t="s">
        <v>93</v>
      </c>
      <c r="M32" s="99">
        <v>10</v>
      </c>
      <c r="N32" s="99">
        <v>20</v>
      </c>
      <c r="O32" s="99">
        <v>40</v>
      </c>
      <c r="P32" s="99"/>
      <c r="Q32" s="99">
        <v>3</v>
      </c>
      <c r="R32" s="99" t="s">
        <v>265</v>
      </c>
      <c r="S32" s="99"/>
      <c r="T32" s="120">
        <f t="shared" ref="T32:T50" si="4">IF(S32&lt;&gt;"",M32*1.2+(N32+P32)*0.6+(O32+Q32)*0.3,0)</f>
        <v>0</v>
      </c>
      <c r="U32" s="53"/>
    </row>
    <row r="33" spans="2:21" ht="13.5" thickBot="1">
      <c r="B33" s="48"/>
      <c r="C33" s="83" t="s">
        <v>1</v>
      </c>
      <c r="D33" s="80">
        <f>SUM(D29:D32)</f>
        <v>0</v>
      </c>
      <c r="E33" s="80">
        <f>SUM(E29:E32)</f>
        <v>0</v>
      </c>
      <c r="F33" s="80">
        <f>SUM(F29:F32)</f>
        <v>0</v>
      </c>
      <c r="G33" s="80">
        <f>SUM(G29:G32)</f>
        <v>0</v>
      </c>
      <c r="H33" s="84">
        <f>SUM(H29:H32)</f>
        <v>0</v>
      </c>
      <c r="I33" s="53"/>
      <c r="K33" s="48"/>
      <c r="L33" s="77" t="s">
        <v>94</v>
      </c>
      <c r="M33" s="99">
        <v>5</v>
      </c>
      <c r="N33" s="99">
        <v>10</v>
      </c>
      <c r="O33" s="99">
        <v>21</v>
      </c>
      <c r="P33" s="99"/>
      <c r="Q33" s="99">
        <v>1</v>
      </c>
      <c r="R33" s="99" t="s">
        <v>191</v>
      </c>
      <c r="S33" s="99"/>
      <c r="T33" s="120">
        <f t="shared" si="4"/>
        <v>0</v>
      </c>
      <c r="U33" s="53"/>
    </row>
    <row r="34" spans="2:21" ht="13.5" thickTop="1">
      <c r="B34" s="48"/>
      <c r="C34" s="279" t="s">
        <v>86</v>
      </c>
      <c r="D34" s="278"/>
      <c r="E34" s="278"/>
      <c r="F34" s="278"/>
      <c r="G34" s="278"/>
      <c r="H34" s="280"/>
      <c r="I34" s="53"/>
      <c r="K34" s="48"/>
      <c r="L34" s="77" t="s">
        <v>95</v>
      </c>
      <c r="M34" s="99">
        <v>5</v>
      </c>
      <c r="N34" s="99">
        <v>7</v>
      </c>
      <c r="O34" s="99">
        <v>20</v>
      </c>
      <c r="P34" s="99"/>
      <c r="Q34" s="99"/>
      <c r="R34" s="99" t="s">
        <v>266</v>
      </c>
      <c r="S34" s="99"/>
      <c r="T34" s="120">
        <f t="shared" si="4"/>
        <v>0</v>
      </c>
      <c r="U34" s="53"/>
    </row>
    <row r="35" spans="2:21">
      <c r="B35" s="48"/>
      <c r="C35" s="68"/>
      <c r="D35" s="69" t="s">
        <v>79</v>
      </c>
      <c r="E35" s="69" t="s">
        <v>49</v>
      </c>
      <c r="F35" s="69" t="s">
        <v>119</v>
      </c>
      <c r="G35" s="70" t="s">
        <v>44</v>
      </c>
      <c r="H35" s="71" t="s">
        <v>118</v>
      </c>
      <c r="I35" s="53"/>
      <c r="K35" s="48"/>
      <c r="L35" s="77" t="s">
        <v>96</v>
      </c>
      <c r="M35" s="99"/>
      <c r="N35" s="99">
        <v>2</v>
      </c>
      <c r="O35" s="99">
        <v>7</v>
      </c>
      <c r="P35" s="99"/>
      <c r="Q35" s="99">
        <v>2</v>
      </c>
      <c r="R35" s="99" t="s">
        <v>267</v>
      </c>
      <c r="S35" s="99"/>
      <c r="T35" s="120">
        <f t="shared" si="4"/>
        <v>0</v>
      </c>
      <c r="U35" s="53"/>
    </row>
    <row r="36" spans="2:21">
      <c r="B36" s="48"/>
      <c r="C36" s="73" t="s">
        <v>81</v>
      </c>
      <c r="D36" s="99"/>
      <c r="E36" s="74">
        <f>0.2*D36</f>
        <v>0</v>
      </c>
      <c r="F36" s="74">
        <f>0.2*D36</f>
        <v>0</v>
      </c>
      <c r="G36" s="75">
        <f>0.2*D36</f>
        <v>0</v>
      </c>
      <c r="H36" s="76">
        <f>D36*HLOOKUP(G14,$Y$4:$AD$9,2,0)</f>
        <v>0</v>
      </c>
      <c r="I36" s="53"/>
      <c r="K36" s="48"/>
      <c r="L36" s="77" t="s">
        <v>97</v>
      </c>
      <c r="M36" s="99"/>
      <c r="N36" s="99">
        <v>2</v>
      </c>
      <c r="O36" s="99">
        <v>7</v>
      </c>
      <c r="P36" s="99"/>
      <c r="Q36" s="99"/>
      <c r="R36" s="99" t="s">
        <v>199</v>
      </c>
      <c r="S36" s="99"/>
      <c r="T36" s="120">
        <f t="shared" si="4"/>
        <v>0</v>
      </c>
      <c r="U36" s="53"/>
    </row>
    <row r="37" spans="2:21">
      <c r="B37" s="48"/>
      <c r="C37" s="73" t="s">
        <v>82</v>
      </c>
      <c r="D37" s="99"/>
      <c r="E37" s="74">
        <f>0.1*D37</f>
        <v>0</v>
      </c>
      <c r="F37" s="74">
        <f>0.1*D37</f>
        <v>0</v>
      </c>
      <c r="G37" s="75">
        <f>0.1*D37</f>
        <v>0</v>
      </c>
      <c r="H37" s="76">
        <f>D37*HLOOKUP(G15,$Y$4:$AD$9,3,0)</f>
        <v>0</v>
      </c>
      <c r="I37" s="53"/>
      <c r="K37" s="48"/>
      <c r="L37" s="77" t="s">
        <v>98</v>
      </c>
      <c r="M37" s="99"/>
      <c r="N37" s="99"/>
      <c r="O37" s="99"/>
      <c r="P37" s="99"/>
      <c r="Q37" s="99"/>
      <c r="R37" s="99"/>
      <c r="S37" s="99"/>
      <c r="T37" s="120">
        <f t="shared" ref="T37:T46" si="5">IF(S37&lt;&gt;"",M37*1.2+(N37+P37)*0.6+(O37+Q37)*0.3,0)</f>
        <v>0</v>
      </c>
      <c r="U37" s="53"/>
    </row>
    <row r="38" spans="2:21">
      <c r="B38" s="48"/>
      <c r="C38" s="73" t="s">
        <v>83</v>
      </c>
      <c r="D38" s="99"/>
      <c r="E38" s="74">
        <f>0.05*D38</f>
        <v>0</v>
      </c>
      <c r="F38" s="74">
        <f>0.05*D38</f>
        <v>0</v>
      </c>
      <c r="G38" s="74">
        <f>0.05*D38</f>
        <v>0</v>
      </c>
      <c r="H38" s="76">
        <f>D38*HLOOKUP(G16,$Y$4:$AD$9,4,0)</f>
        <v>0</v>
      </c>
      <c r="I38" s="53"/>
      <c r="K38" s="48"/>
      <c r="L38" s="77" t="s">
        <v>99</v>
      </c>
      <c r="M38" s="99"/>
      <c r="N38" s="99"/>
      <c r="O38" s="99"/>
      <c r="P38" s="99"/>
      <c r="Q38" s="99"/>
      <c r="R38" s="99"/>
      <c r="S38" s="99"/>
      <c r="T38" s="120">
        <f t="shared" si="5"/>
        <v>0</v>
      </c>
      <c r="U38" s="53"/>
    </row>
    <row r="39" spans="2:21">
      <c r="B39" s="48"/>
      <c r="C39" s="73" t="s">
        <v>84</v>
      </c>
      <c r="D39" s="90"/>
      <c r="E39" s="74">
        <f>0.1*D39</f>
        <v>0</v>
      </c>
      <c r="F39" s="74">
        <f>0.1*D39</f>
        <v>0</v>
      </c>
      <c r="G39" s="74">
        <f>0.1*D39</f>
        <v>0</v>
      </c>
      <c r="H39" s="76">
        <f>D39*HLOOKUP(G17,$Y$4:$AD$9,5,0)</f>
        <v>0</v>
      </c>
      <c r="I39" s="53"/>
      <c r="K39" s="48"/>
      <c r="L39" s="77" t="s">
        <v>100</v>
      </c>
      <c r="M39" s="99"/>
      <c r="N39" s="99"/>
      <c r="O39" s="99"/>
      <c r="P39" s="99"/>
      <c r="Q39" s="99"/>
      <c r="R39" s="99"/>
      <c r="S39" s="99"/>
      <c r="T39" s="120">
        <f t="shared" si="5"/>
        <v>0</v>
      </c>
      <c r="U39" s="53"/>
    </row>
    <row r="40" spans="2:21">
      <c r="B40" s="48"/>
      <c r="C40" s="89" t="s">
        <v>85</v>
      </c>
      <c r="D40" s="100"/>
      <c r="E40" s="79">
        <f>0.05*D40</f>
        <v>0</v>
      </c>
      <c r="F40" s="79">
        <f>0.05*D40</f>
        <v>0</v>
      </c>
      <c r="G40" s="79">
        <f>0.05*D40</f>
        <v>0</v>
      </c>
      <c r="H40" s="76">
        <f>D40*4</f>
        <v>0</v>
      </c>
      <c r="I40" s="53"/>
      <c r="K40" s="48"/>
      <c r="L40" s="77" t="s">
        <v>101</v>
      </c>
      <c r="M40" s="99"/>
      <c r="N40" s="99"/>
      <c r="O40" s="99"/>
      <c r="P40" s="99"/>
      <c r="Q40" s="99"/>
      <c r="R40" s="99"/>
      <c r="S40" s="99"/>
      <c r="T40" s="120">
        <f t="shared" si="5"/>
        <v>0</v>
      </c>
      <c r="U40" s="53"/>
    </row>
    <row r="41" spans="2:21" ht="13.5" thickBot="1">
      <c r="B41" s="48"/>
      <c r="C41" s="83" t="s">
        <v>1</v>
      </c>
      <c r="D41" s="80">
        <f>SUM(D36:D40)</f>
        <v>0</v>
      </c>
      <c r="E41" s="80">
        <f>SUM(E36:E40)</f>
        <v>0</v>
      </c>
      <c r="F41" s="80">
        <f>SUM(F36:F40)</f>
        <v>0</v>
      </c>
      <c r="G41" s="80">
        <f>SUM(G36:G40)</f>
        <v>0</v>
      </c>
      <c r="H41" s="84">
        <f>SUM(H37:H40)</f>
        <v>0</v>
      </c>
      <c r="I41" s="53"/>
      <c r="K41" s="48"/>
      <c r="L41" s="77" t="s">
        <v>240</v>
      </c>
      <c r="M41" s="99"/>
      <c r="N41" s="99"/>
      <c r="O41" s="99"/>
      <c r="P41" s="99"/>
      <c r="Q41" s="99"/>
      <c r="R41" s="99"/>
      <c r="S41" s="99"/>
      <c r="T41" s="120">
        <f t="shared" si="5"/>
        <v>0</v>
      </c>
      <c r="U41" s="53"/>
    </row>
    <row r="42" spans="2:21" ht="13.5" thickTop="1">
      <c r="B42" s="48"/>
      <c r="C42" s="49"/>
      <c r="D42" s="49"/>
      <c r="E42" s="49"/>
      <c r="F42" s="49"/>
      <c r="G42" s="49"/>
      <c r="H42" s="49"/>
      <c r="I42" s="53"/>
      <c r="K42" s="48"/>
      <c r="L42" s="77" t="s">
        <v>241</v>
      </c>
      <c r="M42" s="99"/>
      <c r="N42" s="99"/>
      <c r="O42" s="99"/>
      <c r="P42" s="99"/>
      <c r="Q42" s="99"/>
      <c r="R42" s="99"/>
      <c r="S42" s="99"/>
      <c r="T42" s="120">
        <f t="shared" si="5"/>
        <v>0</v>
      </c>
      <c r="U42" s="53"/>
    </row>
    <row r="43" spans="2:21" ht="13.5" thickBot="1">
      <c r="B43" s="59"/>
      <c r="C43" s="60"/>
      <c r="D43" s="60"/>
      <c r="E43" s="60"/>
      <c r="F43" s="60"/>
      <c r="G43" s="60"/>
      <c r="H43" s="60"/>
      <c r="I43" s="62"/>
      <c r="K43" s="48"/>
      <c r="L43" s="77" t="s">
        <v>242</v>
      </c>
      <c r="M43" s="99"/>
      <c r="N43" s="99"/>
      <c r="O43" s="99"/>
      <c r="P43" s="99"/>
      <c r="Q43" s="99"/>
      <c r="R43" s="99"/>
      <c r="S43" s="99"/>
      <c r="T43" s="120">
        <f t="shared" si="5"/>
        <v>0</v>
      </c>
      <c r="U43" s="53"/>
    </row>
    <row r="44" spans="2:21">
      <c r="K44" s="48"/>
      <c r="L44" s="77" t="s">
        <v>243</v>
      </c>
      <c r="M44" s="99"/>
      <c r="N44" s="99"/>
      <c r="O44" s="99"/>
      <c r="P44" s="99"/>
      <c r="Q44" s="99"/>
      <c r="R44" s="99"/>
      <c r="S44" s="99"/>
      <c r="T44" s="120">
        <f t="shared" si="5"/>
        <v>0</v>
      </c>
      <c r="U44" s="53"/>
    </row>
    <row r="45" spans="2:21" ht="13.5" thickBot="1">
      <c r="K45" s="48"/>
      <c r="L45" s="77" t="s">
        <v>244</v>
      </c>
      <c r="M45" s="99"/>
      <c r="N45" s="99"/>
      <c r="O45" s="99"/>
      <c r="P45" s="99"/>
      <c r="Q45" s="99"/>
      <c r="R45" s="99"/>
      <c r="S45" s="99"/>
      <c r="T45" s="120">
        <f t="shared" si="5"/>
        <v>0</v>
      </c>
      <c r="U45" s="53"/>
    </row>
    <row r="46" spans="2:21">
      <c r="B46" s="44"/>
      <c r="C46" s="45"/>
      <c r="D46" s="45"/>
      <c r="E46" s="45"/>
      <c r="F46" s="45"/>
      <c r="G46" s="45"/>
      <c r="H46" s="45"/>
      <c r="I46" s="47"/>
      <c r="K46" s="48"/>
      <c r="L46" s="77" t="s">
        <v>245</v>
      </c>
      <c r="M46" s="99"/>
      <c r="N46" s="99"/>
      <c r="O46" s="99"/>
      <c r="P46" s="99"/>
      <c r="Q46" s="99"/>
      <c r="R46" s="99"/>
      <c r="S46" s="99"/>
      <c r="T46" s="120">
        <f t="shared" si="5"/>
        <v>0</v>
      </c>
      <c r="U46" s="53"/>
    </row>
    <row r="47" spans="2:21">
      <c r="B47" s="48"/>
      <c r="C47" s="49"/>
      <c r="D47" s="285" t="s">
        <v>127</v>
      </c>
      <c r="E47" s="285"/>
      <c r="F47" s="285"/>
      <c r="G47" s="285"/>
      <c r="H47" s="49"/>
      <c r="I47" s="53"/>
      <c r="K47" s="48"/>
      <c r="L47" s="77" t="s">
        <v>246</v>
      </c>
      <c r="M47" s="99"/>
      <c r="N47" s="99"/>
      <c r="O47" s="99"/>
      <c r="P47" s="99"/>
      <c r="Q47" s="99"/>
      <c r="R47" s="99"/>
      <c r="S47" s="99"/>
      <c r="T47" s="120">
        <f t="shared" si="4"/>
        <v>0</v>
      </c>
      <c r="U47" s="53"/>
    </row>
    <row r="48" spans="2:21" ht="13.5" thickBot="1">
      <c r="B48" s="48"/>
      <c r="C48" s="49"/>
      <c r="D48" s="9"/>
      <c r="E48" s="9"/>
      <c r="F48" s="9"/>
      <c r="G48" s="9"/>
      <c r="H48" s="49"/>
      <c r="I48" s="53"/>
      <c r="K48" s="48"/>
      <c r="L48" s="77" t="s">
        <v>247</v>
      </c>
      <c r="M48" s="99"/>
      <c r="N48" s="99"/>
      <c r="O48" s="99"/>
      <c r="P48" s="99"/>
      <c r="Q48" s="99"/>
      <c r="R48" s="99"/>
      <c r="S48" s="99"/>
      <c r="T48" s="120">
        <f t="shared" si="4"/>
        <v>0</v>
      </c>
      <c r="U48" s="53"/>
    </row>
    <row r="49" spans="2:21" ht="13.5" thickTop="1">
      <c r="B49" s="48"/>
      <c r="C49" s="49"/>
      <c r="D49" s="91"/>
      <c r="E49" s="65" t="s">
        <v>79</v>
      </c>
      <c r="F49" s="65" t="s">
        <v>128</v>
      </c>
      <c r="G49" s="66" t="s">
        <v>129</v>
      </c>
      <c r="H49" s="49"/>
      <c r="I49" s="53"/>
      <c r="K49" s="48"/>
      <c r="L49" s="77" t="s">
        <v>248</v>
      </c>
      <c r="M49" s="99"/>
      <c r="N49" s="99"/>
      <c r="O49" s="99"/>
      <c r="P49" s="99"/>
      <c r="Q49" s="99"/>
      <c r="R49" s="99"/>
      <c r="S49" s="99"/>
      <c r="T49" s="120">
        <f t="shared" si="4"/>
        <v>0</v>
      </c>
      <c r="U49" s="53"/>
    </row>
    <row r="50" spans="2:21" ht="13.5" thickBot="1">
      <c r="B50" s="48"/>
      <c r="C50" s="49"/>
      <c r="D50" s="77" t="s">
        <v>81</v>
      </c>
      <c r="E50" s="74">
        <v>5</v>
      </c>
      <c r="F50" s="74">
        <v>1903</v>
      </c>
      <c r="G50" s="76">
        <v>1907</v>
      </c>
      <c r="H50" s="49"/>
      <c r="I50" s="53"/>
      <c r="K50" s="48"/>
      <c r="L50" s="88" t="s">
        <v>249</v>
      </c>
      <c r="M50" s="101"/>
      <c r="N50" s="101"/>
      <c r="O50" s="101"/>
      <c r="P50" s="101"/>
      <c r="Q50" s="101"/>
      <c r="R50" s="101"/>
      <c r="S50" s="101"/>
      <c r="T50" s="136">
        <f t="shared" si="4"/>
        <v>0</v>
      </c>
      <c r="U50" s="53"/>
    </row>
    <row r="51" spans="2:21" ht="13.5" thickTop="1">
      <c r="B51" s="48"/>
      <c r="C51" s="49"/>
      <c r="D51" s="77" t="s">
        <v>82</v>
      </c>
      <c r="E51" s="74"/>
      <c r="F51" s="74"/>
      <c r="G51" s="76"/>
      <c r="H51" s="49"/>
      <c r="I51" s="53"/>
      <c r="K51" s="48"/>
      <c r="L51" s="49"/>
      <c r="M51" s="49"/>
      <c r="N51" s="49"/>
      <c r="O51" s="49"/>
      <c r="P51" s="49"/>
      <c r="Q51" s="49"/>
      <c r="R51" s="49"/>
      <c r="S51" s="49"/>
      <c r="T51" s="218">
        <f>SUM(T31:T50)</f>
        <v>0</v>
      </c>
      <c r="U51" s="53"/>
    </row>
    <row r="52" spans="2:21" ht="13.5" thickBot="1">
      <c r="B52" s="48"/>
      <c r="C52" s="49"/>
      <c r="D52" s="88" t="s">
        <v>84</v>
      </c>
      <c r="E52" s="80"/>
      <c r="F52" s="80"/>
      <c r="G52" s="84"/>
      <c r="H52" s="49"/>
      <c r="I52" s="53"/>
      <c r="K52" s="59"/>
      <c r="L52" s="60"/>
      <c r="M52" s="60"/>
      <c r="N52" s="60"/>
      <c r="O52" s="60"/>
      <c r="P52" s="60"/>
      <c r="Q52" s="60"/>
      <c r="R52" s="60"/>
      <c r="S52" s="60"/>
      <c r="T52" s="60"/>
      <c r="U52" s="62"/>
    </row>
    <row r="53" spans="2:21" ht="13.5" thickTop="1">
      <c r="B53" s="48"/>
      <c r="C53" s="49"/>
      <c r="D53" s="49"/>
      <c r="E53" s="49"/>
      <c r="F53" s="49"/>
      <c r="G53" s="49"/>
      <c r="H53" s="49"/>
      <c r="I53" s="53"/>
    </row>
    <row r="54" spans="2:21" ht="13.5" thickBot="1">
      <c r="B54" s="59"/>
      <c r="C54" s="60"/>
      <c r="D54" s="60"/>
      <c r="E54" s="60"/>
      <c r="F54" s="60"/>
      <c r="G54" s="60"/>
      <c r="H54" s="60"/>
      <c r="I54" s="62"/>
    </row>
    <row r="56" spans="2:21" ht="13.5" thickBot="1"/>
    <row r="57" spans="2:21">
      <c r="B57" s="44"/>
      <c r="C57" s="45"/>
      <c r="D57" s="45"/>
      <c r="E57" s="45"/>
      <c r="F57" s="45"/>
      <c r="G57" s="45"/>
      <c r="H57" s="45"/>
      <c r="I57" s="47"/>
    </row>
    <row r="58" spans="2:21">
      <c r="B58" s="48"/>
      <c r="C58" s="49"/>
      <c r="D58" s="285" t="s">
        <v>133</v>
      </c>
      <c r="E58" s="285"/>
      <c r="F58" s="285"/>
      <c r="G58" s="49"/>
      <c r="H58" s="49"/>
      <c r="I58" s="53"/>
    </row>
    <row r="59" spans="2:21" ht="13.5" thickBot="1">
      <c r="B59" s="48"/>
      <c r="C59" s="49"/>
      <c r="D59" s="49"/>
      <c r="E59" s="49"/>
      <c r="F59" s="49"/>
      <c r="G59" s="49"/>
      <c r="H59" s="49"/>
      <c r="I59" s="53"/>
    </row>
    <row r="60" spans="2:21" ht="13.5" thickTop="1">
      <c r="B60" s="48"/>
      <c r="C60" s="49"/>
      <c r="D60" s="91"/>
      <c r="E60" s="65" t="s">
        <v>130</v>
      </c>
      <c r="F60" s="66" t="s">
        <v>173</v>
      </c>
      <c r="G60" s="49"/>
      <c r="H60" s="49"/>
      <c r="I60" s="53"/>
    </row>
    <row r="61" spans="2:21">
      <c r="B61" s="48"/>
      <c r="C61" s="49"/>
      <c r="D61" s="77" t="s">
        <v>25</v>
      </c>
      <c r="E61" s="92">
        <f>H11</f>
        <v>40.25</v>
      </c>
      <c r="F61" s="93">
        <f>H33</f>
        <v>0</v>
      </c>
      <c r="G61" s="49"/>
      <c r="H61" s="49"/>
      <c r="I61" s="53"/>
    </row>
    <row r="62" spans="2:21" ht="13.5" thickBot="1">
      <c r="B62" s="48"/>
      <c r="C62" s="49"/>
      <c r="D62" s="77" t="s">
        <v>131</v>
      </c>
      <c r="E62" s="94">
        <f>H19</f>
        <v>77.8</v>
      </c>
      <c r="F62" s="95">
        <f>H41</f>
        <v>0</v>
      </c>
      <c r="G62" s="49"/>
      <c r="H62" s="49"/>
      <c r="I62" s="53"/>
    </row>
    <row r="63" spans="2:21" ht="14.25" thickTop="1" thickBot="1">
      <c r="B63" s="48"/>
      <c r="C63" s="49"/>
      <c r="D63" s="96" t="s">
        <v>132</v>
      </c>
      <c r="E63" s="97">
        <f>SUM(E61:E62)</f>
        <v>118.05</v>
      </c>
      <c r="F63" s="98">
        <f>SUM(F61:F62)</f>
        <v>0</v>
      </c>
      <c r="G63" s="49"/>
      <c r="H63" s="49"/>
      <c r="I63" s="53"/>
    </row>
    <row r="64" spans="2:21" ht="13.5" thickTop="1">
      <c r="B64" s="48"/>
      <c r="C64" s="49"/>
      <c r="D64" s="49"/>
      <c r="E64" s="49"/>
      <c r="F64" s="49"/>
      <c r="G64" s="49"/>
      <c r="H64" s="49"/>
      <c r="I64" s="53"/>
    </row>
    <row r="65" spans="2:9" ht="13.5" thickBot="1">
      <c r="B65" s="59"/>
      <c r="C65" s="60"/>
      <c r="D65" s="60"/>
      <c r="E65" s="60"/>
      <c r="F65" s="60"/>
      <c r="G65" s="60"/>
      <c r="H65" s="60"/>
      <c r="I65" s="62"/>
    </row>
  </sheetData>
  <sheetProtection password="CC15" sheet="1" objects="1" scenarios="1" selectLockedCells="1"/>
  <mergeCells count="11">
    <mergeCell ref="D47:G47"/>
    <mergeCell ref="D58:F58"/>
    <mergeCell ref="C25:H25"/>
    <mergeCell ref="C27:H27"/>
    <mergeCell ref="C34:H34"/>
    <mergeCell ref="X2:Y2"/>
    <mergeCell ref="M28:R28"/>
    <mergeCell ref="M3:R3"/>
    <mergeCell ref="C12:H12"/>
    <mergeCell ref="C5:H5"/>
    <mergeCell ref="C3:H3"/>
  </mergeCells>
  <phoneticPr fontId="3" type="noConversion"/>
  <dataValidations count="1">
    <dataValidation type="list" allowBlank="1" showInputMessage="1" showErrorMessage="1" prompt="Indica si tus Unidades de infantería están dotadas de ametralladoras" sqref="N6:N25">
      <formula1>$W$2:$W$3</formula1>
    </dataValidation>
  </dataValidations>
  <pageMargins left="0.75" right="0.75" top="1" bottom="1" header="0" footer="0"/>
  <pageSetup paperSize="9" orientation="portrait" r:id="rId1"/>
  <headerFooter alignWithMargins="0"/>
  <ignoredErrors>
    <ignoredError sqref="E38:F39 H16 G38" formula="1"/>
    <ignoredError sqref="H3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B1:T36"/>
  <sheetViews>
    <sheetView showGridLines="0" workbookViewId="0">
      <selection activeCell="D26" sqref="D26"/>
    </sheetView>
  </sheetViews>
  <sheetFormatPr baseColWidth="10" defaultRowHeight="12.75"/>
  <cols>
    <col min="1" max="2" width="11.42578125" style="1"/>
    <col min="3" max="3" width="20.85546875" style="1" bestFit="1" customWidth="1"/>
    <col min="4" max="4" width="8" style="1" bestFit="1" customWidth="1"/>
    <col min="5" max="5" width="5.5703125" style="1" bestFit="1" customWidth="1"/>
    <col min="6" max="6" width="6" style="1" bestFit="1" customWidth="1"/>
    <col min="7" max="7" width="12.28515625" style="1" bestFit="1" customWidth="1"/>
    <col min="8" max="10" width="11.42578125" style="226"/>
    <col min="11" max="11" width="11.42578125" style="209"/>
    <col min="12" max="12" width="18.5703125" style="209" bestFit="1" customWidth="1"/>
    <col min="13" max="17" width="11.42578125" style="209"/>
    <col min="18" max="16384" width="11.42578125" style="1"/>
  </cols>
  <sheetData>
    <row r="1" spans="2:20" ht="13.5" thickBot="1"/>
    <row r="2" spans="2:20">
      <c r="B2" s="44"/>
      <c r="C2" s="45"/>
      <c r="D2" s="45"/>
      <c r="E2" s="45"/>
      <c r="F2" s="45"/>
      <c r="G2" s="47"/>
    </row>
    <row r="3" spans="2:20">
      <c r="B3" s="48"/>
      <c r="C3" s="278" t="s">
        <v>139</v>
      </c>
      <c r="D3" s="278"/>
      <c r="E3" s="278"/>
      <c r="F3" s="278"/>
      <c r="G3" s="53"/>
      <c r="L3" s="209" t="s">
        <v>250</v>
      </c>
      <c r="R3" s="172"/>
    </row>
    <row r="4" spans="2:20" ht="13.5" thickBot="1">
      <c r="B4" s="48"/>
      <c r="C4" s="49"/>
      <c r="D4" s="49"/>
      <c r="E4" s="49"/>
      <c r="F4" s="49"/>
      <c r="G4" s="53"/>
      <c r="L4" s="209" t="s">
        <v>137</v>
      </c>
      <c r="R4" s="172"/>
      <c r="S4" s="172"/>
      <c r="T4" s="172"/>
    </row>
    <row r="5" spans="2:20" ht="13.5" thickTop="1">
      <c r="B5" s="48"/>
      <c r="C5" s="102"/>
      <c r="D5" s="65" t="s">
        <v>134</v>
      </c>
      <c r="E5" s="65" t="s">
        <v>135</v>
      </c>
      <c r="F5" s="66" t="s">
        <v>136</v>
      </c>
      <c r="G5" s="53"/>
      <c r="L5" s="209" t="s">
        <v>138</v>
      </c>
      <c r="R5" s="172"/>
      <c r="S5" s="172"/>
      <c r="T5" s="172"/>
    </row>
    <row r="6" spans="2:20">
      <c r="B6" s="48"/>
      <c r="C6" s="73" t="s">
        <v>72</v>
      </c>
      <c r="D6" s="99" t="s">
        <v>138</v>
      </c>
      <c r="E6" s="74" t="s">
        <v>121</v>
      </c>
      <c r="F6" s="76">
        <f>IF(D6="SI",Militar!D7,0)</f>
        <v>0</v>
      </c>
      <c r="G6" s="53"/>
      <c r="L6" s="210" t="s">
        <v>120</v>
      </c>
      <c r="M6" s="210" t="s">
        <v>121</v>
      </c>
      <c r="N6" s="210" t="s">
        <v>122</v>
      </c>
      <c r="O6" s="210" t="s">
        <v>3</v>
      </c>
      <c r="P6" s="210" t="s">
        <v>2</v>
      </c>
      <c r="Q6" s="210" t="s">
        <v>4</v>
      </c>
      <c r="R6" s="255"/>
      <c r="S6" s="172"/>
      <c r="T6" s="172"/>
    </row>
    <row r="7" spans="2:20">
      <c r="B7" s="48"/>
      <c r="C7" s="73" t="s">
        <v>73</v>
      </c>
      <c r="D7" s="99" t="s">
        <v>138</v>
      </c>
      <c r="E7" s="74" t="s">
        <v>3</v>
      </c>
      <c r="F7" s="76">
        <f>IF(D7="SI",Militar!D8,0)</f>
        <v>0</v>
      </c>
      <c r="G7" s="53"/>
      <c r="L7" s="211">
        <v>0</v>
      </c>
      <c r="M7" s="212">
        <v>60</v>
      </c>
      <c r="N7" s="212">
        <v>50</v>
      </c>
      <c r="O7" s="212">
        <v>40</v>
      </c>
      <c r="P7" s="212">
        <v>30</v>
      </c>
      <c r="Q7" s="212">
        <v>50</v>
      </c>
      <c r="R7" s="256"/>
      <c r="S7" s="172"/>
      <c r="T7" s="172"/>
    </row>
    <row r="8" spans="2:20">
      <c r="B8" s="48"/>
      <c r="C8" s="73" t="s">
        <v>74</v>
      </c>
      <c r="D8" s="99" t="s">
        <v>137</v>
      </c>
      <c r="E8" s="74" t="s">
        <v>3</v>
      </c>
      <c r="F8" s="76">
        <f>IF(D8="SI",Militar!D9,0)</f>
        <v>8</v>
      </c>
      <c r="G8" s="53"/>
      <c r="L8" s="211" t="s">
        <v>255</v>
      </c>
      <c r="M8" s="212" t="s">
        <v>257</v>
      </c>
      <c r="N8" s="212" t="s">
        <v>258</v>
      </c>
      <c r="O8" s="212"/>
      <c r="P8" s="212"/>
      <c r="Q8" s="212"/>
      <c r="R8" s="256"/>
      <c r="S8" s="172"/>
      <c r="T8" s="172"/>
    </row>
    <row r="9" spans="2:20">
      <c r="B9" s="48"/>
      <c r="C9" s="73" t="s">
        <v>87</v>
      </c>
      <c r="D9" s="99" t="s">
        <v>138</v>
      </c>
      <c r="E9" s="74" t="s">
        <v>3</v>
      </c>
      <c r="F9" s="76">
        <f>IF(D9="SI",Militar!D10,0)</f>
        <v>0</v>
      </c>
      <c r="G9" s="53"/>
      <c r="L9" s="273">
        <v>40</v>
      </c>
      <c r="M9" s="274">
        <v>50</v>
      </c>
      <c r="N9" s="274">
        <v>60</v>
      </c>
      <c r="O9" s="212"/>
      <c r="P9" s="212"/>
      <c r="Q9" s="212"/>
      <c r="R9" s="212"/>
      <c r="S9" s="172"/>
      <c r="T9" s="172"/>
    </row>
    <row r="10" spans="2:20">
      <c r="B10" s="48"/>
      <c r="C10" s="73" t="s">
        <v>81</v>
      </c>
      <c r="D10" s="99" t="s">
        <v>138</v>
      </c>
      <c r="E10" s="74" t="s">
        <v>3</v>
      </c>
      <c r="F10" s="76">
        <f>IF(D10="SI",2*Militar!D14,0)</f>
        <v>0</v>
      </c>
      <c r="G10" s="53"/>
      <c r="L10" s="213"/>
      <c r="M10" s="212"/>
      <c r="N10" s="212"/>
      <c r="O10" s="212"/>
      <c r="P10" s="212"/>
      <c r="Q10" s="212"/>
      <c r="R10" s="212"/>
      <c r="S10" s="172"/>
      <c r="T10" s="172"/>
    </row>
    <row r="11" spans="2:20">
      <c r="B11" s="48"/>
      <c r="C11" s="73" t="s">
        <v>82</v>
      </c>
      <c r="D11" s="99" t="s">
        <v>138</v>
      </c>
      <c r="E11" s="74" t="s">
        <v>3</v>
      </c>
      <c r="F11" s="76">
        <f>IF(D11="SI",Militar!D15,0)</f>
        <v>0</v>
      </c>
      <c r="G11" s="53"/>
      <c r="R11" s="209"/>
      <c r="S11" s="172"/>
      <c r="T11" s="172"/>
    </row>
    <row r="12" spans="2:20">
      <c r="B12" s="48"/>
      <c r="C12" s="73" t="s">
        <v>83</v>
      </c>
      <c r="D12" s="99" t="s">
        <v>138</v>
      </c>
      <c r="E12" s="74" t="s">
        <v>3</v>
      </c>
      <c r="F12" s="76">
        <f>IF(D12="SI",0.5*Militar!D16,0)</f>
        <v>0</v>
      </c>
      <c r="G12" s="53"/>
      <c r="R12" s="172"/>
      <c r="S12" s="172"/>
      <c r="T12" s="172"/>
    </row>
    <row r="13" spans="2:20">
      <c r="B13" s="48"/>
      <c r="C13" s="73" t="s">
        <v>84</v>
      </c>
      <c r="D13" s="99" t="s">
        <v>138</v>
      </c>
      <c r="E13" s="74" t="s">
        <v>3</v>
      </c>
      <c r="F13" s="76">
        <f>IF(D13="SI",Militar!D17,0)</f>
        <v>0</v>
      </c>
      <c r="G13" s="53"/>
      <c r="R13" s="172"/>
      <c r="S13" s="172"/>
      <c r="T13" s="172"/>
    </row>
    <row r="14" spans="2:20">
      <c r="B14" s="48"/>
      <c r="C14" s="73" t="s">
        <v>85</v>
      </c>
      <c r="D14" s="99" t="s">
        <v>138</v>
      </c>
      <c r="E14" s="74" t="s">
        <v>3</v>
      </c>
      <c r="F14" s="76">
        <f>IF(D14="SI",0.5*Militar!D18,0)</f>
        <v>0</v>
      </c>
      <c r="G14" s="53"/>
      <c r="R14" s="172"/>
      <c r="S14" s="172"/>
      <c r="T14" s="172"/>
    </row>
    <row r="15" spans="2:20" ht="13.5" thickBot="1">
      <c r="B15" s="48"/>
      <c r="C15" s="103"/>
      <c r="D15" s="9"/>
      <c r="E15" s="9"/>
      <c r="F15" s="104"/>
      <c r="G15" s="53"/>
      <c r="R15" s="172"/>
      <c r="S15" s="172"/>
      <c r="T15" s="172"/>
    </row>
    <row r="16" spans="2:20" ht="14.25" thickTop="1" thickBot="1">
      <c r="B16" s="48"/>
      <c r="C16" s="105" t="s">
        <v>1</v>
      </c>
      <c r="D16" s="106"/>
      <c r="E16" s="106"/>
      <c r="F16" s="107">
        <f>SUM(F6:F14)</f>
        <v>8</v>
      </c>
      <c r="G16" s="53"/>
      <c r="R16" s="172"/>
      <c r="S16" s="172"/>
      <c r="T16" s="172"/>
    </row>
    <row r="17" spans="2:20" ht="14.25" thickTop="1" thickBot="1">
      <c r="B17" s="59"/>
      <c r="C17" s="108"/>
      <c r="D17" s="60"/>
      <c r="E17" s="60"/>
      <c r="F17" s="60"/>
      <c r="G17" s="62"/>
      <c r="R17" s="172"/>
      <c r="S17" s="172"/>
      <c r="T17" s="172"/>
    </row>
    <row r="19" spans="2:20" ht="13.5" thickBot="1"/>
    <row r="20" spans="2:20">
      <c r="B20" s="44"/>
      <c r="C20" s="45"/>
      <c r="D20" s="45"/>
      <c r="E20" s="45"/>
      <c r="F20" s="45"/>
      <c r="G20" s="47"/>
    </row>
    <row r="21" spans="2:20">
      <c r="B21" s="48"/>
      <c r="C21" s="278" t="s">
        <v>141</v>
      </c>
      <c r="D21" s="278"/>
      <c r="E21" s="278"/>
      <c r="F21" s="278"/>
      <c r="G21" s="53"/>
    </row>
    <row r="22" spans="2:20" ht="13.5" thickBot="1">
      <c r="B22" s="48"/>
      <c r="C22" s="49"/>
      <c r="D22" s="49"/>
      <c r="E22" s="49"/>
      <c r="F22" s="49"/>
      <c r="G22" s="53"/>
    </row>
    <row r="23" spans="2:20" ht="13.5" thickTop="1">
      <c r="B23" s="48"/>
      <c r="C23" s="102"/>
      <c r="D23" s="65" t="s">
        <v>142</v>
      </c>
      <c r="E23" s="65" t="s">
        <v>135</v>
      </c>
      <c r="F23" s="66" t="s">
        <v>136</v>
      </c>
      <c r="G23" s="53"/>
    </row>
    <row r="24" spans="2:20">
      <c r="B24" s="48"/>
      <c r="C24" s="271" t="s">
        <v>256</v>
      </c>
      <c r="D24" s="99" t="s">
        <v>137</v>
      </c>
      <c r="E24" s="115" t="s">
        <v>255</v>
      </c>
      <c r="F24" s="272">
        <f>IF(D24="SI",HLOOKUP(E24,$L$8:$N$9,2,0),IF(D25="Mantener",5,0))</f>
        <v>40</v>
      </c>
      <c r="G24" s="53"/>
    </row>
    <row r="25" spans="2:20">
      <c r="B25" s="48"/>
      <c r="C25" s="73" t="s">
        <v>140</v>
      </c>
      <c r="D25" s="99" t="s">
        <v>138</v>
      </c>
      <c r="E25" s="74" t="s">
        <v>121</v>
      </c>
      <c r="F25" s="76">
        <f>IF(D25="SI",HLOOKUP(E25,$M$6:$Q$10,2,0),IF(D25="Mantener",5,0))</f>
        <v>0</v>
      </c>
      <c r="G25" s="53"/>
    </row>
    <row r="26" spans="2:20">
      <c r="B26" s="48"/>
      <c r="C26" s="73" t="s">
        <v>123</v>
      </c>
      <c r="D26" s="99" t="s">
        <v>137</v>
      </c>
      <c r="E26" s="74" t="s">
        <v>122</v>
      </c>
      <c r="F26" s="76">
        <f t="shared" ref="F26:F33" si="0">IF(D26="SI",HLOOKUP(E26,$M$6:$Q$10,2,0),IF(D26="Mantener",5,0))</f>
        <v>50</v>
      </c>
      <c r="G26" s="53"/>
    </row>
    <row r="27" spans="2:20">
      <c r="B27" s="48"/>
      <c r="C27" s="73" t="s">
        <v>125</v>
      </c>
      <c r="D27" s="99" t="s">
        <v>138</v>
      </c>
      <c r="E27" s="74" t="s">
        <v>121</v>
      </c>
      <c r="F27" s="76">
        <f t="shared" si="0"/>
        <v>0</v>
      </c>
      <c r="G27" s="53"/>
    </row>
    <row r="28" spans="2:20">
      <c r="B28" s="48"/>
      <c r="C28" s="73" t="s">
        <v>124</v>
      </c>
      <c r="D28" s="99" t="s">
        <v>137</v>
      </c>
      <c r="E28" s="74" t="s">
        <v>2</v>
      </c>
      <c r="F28" s="76">
        <f t="shared" si="0"/>
        <v>30</v>
      </c>
      <c r="G28" s="53"/>
    </row>
    <row r="29" spans="2:20">
      <c r="B29" s="48"/>
      <c r="C29" s="73" t="s">
        <v>81</v>
      </c>
      <c r="D29" s="99" t="s">
        <v>138</v>
      </c>
      <c r="E29" s="74" t="s">
        <v>120</v>
      </c>
      <c r="F29" s="76">
        <f t="shared" si="0"/>
        <v>0</v>
      </c>
      <c r="G29" s="53"/>
    </row>
    <row r="30" spans="2:20">
      <c r="B30" s="48"/>
      <c r="C30" s="73" t="s">
        <v>82</v>
      </c>
      <c r="D30" s="99" t="s">
        <v>138</v>
      </c>
      <c r="E30" s="74" t="s">
        <v>121</v>
      </c>
      <c r="F30" s="76">
        <f t="shared" si="0"/>
        <v>0</v>
      </c>
      <c r="G30" s="53"/>
    </row>
    <row r="31" spans="2:20">
      <c r="B31" s="48"/>
      <c r="C31" s="73" t="s">
        <v>83</v>
      </c>
      <c r="D31" s="99" t="s">
        <v>138</v>
      </c>
      <c r="E31" s="74" t="s">
        <v>121</v>
      </c>
      <c r="F31" s="76">
        <f t="shared" si="0"/>
        <v>0</v>
      </c>
      <c r="G31" s="53"/>
    </row>
    <row r="32" spans="2:20">
      <c r="B32" s="48"/>
      <c r="C32" s="73" t="s">
        <v>84</v>
      </c>
      <c r="D32" s="99" t="s">
        <v>138</v>
      </c>
      <c r="E32" s="74" t="s">
        <v>4</v>
      </c>
      <c r="F32" s="76">
        <f t="shared" si="0"/>
        <v>0</v>
      </c>
      <c r="G32" s="53"/>
    </row>
    <row r="33" spans="2:7">
      <c r="B33" s="48"/>
      <c r="C33" s="73" t="s">
        <v>85</v>
      </c>
      <c r="D33" s="219" t="s">
        <v>217</v>
      </c>
      <c r="E33" s="109" t="s">
        <v>143</v>
      </c>
      <c r="F33" s="76">
        <f t="shared" si="0"/>
        <v>0</v>
      </c>
      <c r="G33" s="53"/>
    </row>
    <row r="34" spans="2:7" ht="13.5" thickBot="1">
      <c r="B34" s="48"/>
      <c r="C34" s="103"/>
      <c r="D34" s="9"/>
      <c r="E34" s="9"/>
      <c r="F34" s="104"/>
      <c r="G34" s="53"/>
    </row>
    <row r="35" spans="2:7" ht="14.25" thickTop="1" thickBot="1">
      <c r="B35" s="48"/>
      <c r="C35" s="105" t="s">
        <v>1</v>
      </c>
      <c r="D35" s="106"/>
      <c r="E35" s="106"/>
      <c r="F35" s="107">
        <f>SUM(F24:F33)</f>
        <v>120</v>
      </c>
      <c r="G35" s="53"/>
    </row>
    <row r="36" spans="2:7" ht="14.25" thickTop="1" thickBot="1">
      <c r="B36" s="59"/>
      <c r="C36" s="108"/>
      <c r="D36" s="60"/>
      <c r="E36" s="60"/>
      <c r="F36" s="60"/>
      <c r="G36" s="62"/>
    </row>
  </sheetData>
  <sheetProtection password="CC15" sheet="1" objects="1" scenarios="1" selectLockedCells="1"/>
  <mergeCells count="2">
    <mergeCell ref="C3:F3"/>
    <mergeCell ref="C21:F21"/>
  </mergeCells>
  <phoneticPr fontId="3" type="noConversion"/>
  <dataValidations count="2">
    <dataValidation type="list" allowBlank="1" showInputMessage="1" showErrorMessage="1" sqref="D6:D14">
      <formula1>$L$4:$L$5</formula1>
    </dataValidation>
    <dataValidation type="list" allowBlank="1" showInputMessage="1" showErrorMessage="1" sqref="D24:D32">
      <formula1>$L$3:$L$4:$L$5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B1:W54"/>
  <sheetViews>
    <sheetView showGridLines="0" topLeftCell="A4" zoomScaleNormal="100" workbookViewId="0">
      <selection activeCell="J6" sqref="J6:K6"/>
    </sheetView>
  </sheetViews>
  <sheetFormatPr baseColWidth="10" defaultRowHeight="12.75"/>
  <cols>
    <col min="1" max="2" width="2.7109375" style="1" customWidth="1"/>
    <col min="3" max="3" width="17.28515625" style="1" bestFit="1" customWidth="1"/>
    <col min="4" max="6" width="11.42578125" style="1"/>
    <col min="7" max="9" width="2.7109375" style="1" customWidth="1"/>
    <col min="10" max="11" width="13.85546875" style="1" customWidth="1"/>
    <col min="12" max="16" width="11.42578125" style="1"/>
    <col min="17" max="17" width="2.7109375" style="1" customWidth="1"/>
    <col min="18" max="18" width="11.42578125" style="1"/>
    <col min="19" max="19" width="27.5703125" style="210" bestFit="1" customWidth="1"/>
    <col min="20" max="22" width="11.42578125" style="209"/>
    <col min="23" max="16384" width="11.42578125" style="1"/>
  </cols>
  <sheetData>
    <row r="1" spans="2:23" ht="13.5" thickBot="1">
      <c r="R1" s="134"/>
      <c r="W1" s="14"/>
    </row>
    <row r="2" spans="2:23">
      <c r="B2" s="44"/>
      <c r="C2" s="45"/>
      <c r="D2" s="45"/>
      <c r="E2" s="45"/>
      <c r="F2" s="45"/>
      <c r="G2" s="47"/>
      <c r="H2" s="49"/>
      <c r="I2" s="44"/>
      <c r="J2" s="45"/>
      <c r="K2" s="45"/>
      <c r="L2" s="45"/>
      <c r="M2" s="45"/>
      <c r="N2" s="45"/>
      <c r="O2" s="45"/>
      <c r="P2" s="45"/>
      <c r="Q2" s="47"/>
      <c r="R2" s="134"/>
      <c r="W2" s="14"/>
    </row>
    <row r="3" spans="2:23">
      <c r="B3" s="48"/>
      <c r="C3" s="278" t="s">
        <v>159</v>
      </c>
      <c r="D3" s="278"/>
      <c r="E3" s="278"/>
      <c r="F3" s="278"/>
      <c r="G3" s="53"/>
      <c r="H3" s="49"/>
      <c r="I3" s="48"/>
      <c r="J3" s="49"/>
      <c r="K3" s="278" t="s">
        <v>160</v>
      </c>
      <c r="L3" s="278"/>
      <c r="M3" s="278"/>
      <c r="N3" s="278"/>
      <c r="O3" s="278"/>
      <c r="P3" s="49"/>
      <c r="Q3" s="53"/>
      <c r="R3" s="134"/>
      <c r="W3" s="14"/>
    </row>
    <row r="4" spans="2:23" ht="13.5" thickBot="1">
      <c r="B4" s="48"/>
      <c r="C4" s="49"/>
      <c r="D4" s="49"/>
      <c r="E4" s="49"/>
      <c r="F4" s="49"/>
      <c r="G4" s="53"/>
      <c r="H4" s="49"/>
      <c r="I4" s="48"/>
      <c r="J4" s="49"/>
      <c r="K4" s="49"/>
      <c r="L4" s="49"/>
      <c r="M4" s="49"/>
      <c r="N4" s="49"/>
      <c r="O4" s="49"/>
      <c r="P4" s="49"/>
      <c r="Q4" s="53"/>
      <c r="R4" s="134"/>
      <c r="W4" s="14"/>
    </row>
    <row r="5" spans="2:23" ht="14.25" thickTop="1" thickBot="1">
      <c r="B5" s="48"/>
      <c r="C5" s="110" t="s">
        <v>158</v>
      </c>
      <c r="D5" s="111" t="s">
        <v>157</v>
      </c>
      <c r="E5" s="111" t="s">
        <v>136</v>
      </c>
      <c r="F5" s="112" t="s">
        <v>156</v>
      </c>
      <c r="G5" s="53"/>
      <c r="H5" s="49"/>
      <c r="I5" s="48"/>
      <c r="J5" s="288" t="s">
        <v>155</v>
      </c>
      <c r="K5" s="289"/>
      <c r="L5" s="111" t="s">
        <v>136</v>
      </c>
      <c r="M5" s="111" t="s">
        <v>156</v>
      </c>
      <c r="N5" s="111" t="s">
        <v>49</v>
      </c>
      <c r="O5" s="111" t="s">
        <v>119</v>
      </c>
      <c r="P5" s="113" t="s">
        <v>44</v>
      </c>
      <c r="Q5" s="53"/>
      <c r="R5" s="134"/>
      <c r="S5" s="210" t="s">
        <v>169</v>
      </c>
      <c r="T5" s="209">
        <v>0</v>
      </c>
      <c r="U5" s="209">
        <v>1</v>
      </c>
      <c r="V5" s="209" t="s">
        <v>161</v>
      </c>
      <c r="W5" s="14"/>
    </row>
    <row r="6" spans="2:23" ht="13.5" thickTop="1">
      <c r="B6" s="48"/>
      <c r="C6" s="114" t="s">
        <v>268</v>
      </c>
      <c r="D6" s="115" t="s">
        <v>151</v>
      </c>
      <c r="E6" s="115">
        <v>60</v>
      </c>
      <c r="F6" s="116">
        <v>1</v>
      </c>
      <c r="G6" s="53"/>
      <c r="H6" s="49"/>
      <c r="I6" s="48"/>
      <c r="J6" s="286" t="s">
        <v>169</v>
      </c>
      <c r="K6" s="287"/>
      <c r="L6" s="117">
        <f>VLOOKUP(J6,$S$5:$U$49,2,0)</f>
        <v>0</v>
      </c>
      <c r="M6" s="117">
        <f>VLOOKUP(J6,$S$5:$U$49,3,0)</f>
        <v>1</v>
      </c>
      <c r="N6" s="117">
        <f>IF($M6=2,1,0)</f>
        <v>0</v>
      </c>
      <c r="O6" s="117">
        <f>IF($M6=2,1,0)</f>
        <v>0</v>
      </c>
      <c r="P6" s="118">
        <f>IF($M6=2,1,0)</f>
        <v>0</v>
      </c>
      <c r="Q6" s="53"/>
      <c r="R6" s="134"/>
      <c r="S6" s="210" t="str">
        <f>CONCATENATE(C6," / ",D6)</f>
        <v>Exótico_Ferro / Brasil</v>
      </c>
      <c r="T6" s="209">
        <f>E6</f>
        <v>60</v>
      </c>
      <c r="U6" s="209">
        <f>F6</f>
        <v>1</v>
      </c>
      <c r="V6" s="209" t="s">
        <v>144</v>
      </c>
      <c r="W6" s="14"/>
    </row>
    <row r="7" spans="2:23">
      <c r="B7" s="48"/>
      <c r="C7" s="119" t="s">
        <v>269</v>
      </c>
      <c r="D7" s="74" t="s">
        <v>151</v>
      </c>
      <c r="E7" s="74">
        <v>60</v>
      </c>
      <c r="F7" s="76">
        <v>1</v>
      </c>
      <c r="G7" s="53"/>
      <c r="H7" s="49"/>
      <c r="I7" s="48"/>
      <c r="J7" s="286" t="s">
        <v>169</v>
      </c>
      <c r="K7" s="287"/>
      <c r="L7" s="117">
        <f t="shared" ref="L7:L20" si="0">VLOOKUP(J7,$S$5:$U$49,2,0)</f>
        <v>0</v>
      </c>
      <c r="M7" s="117">
        <f t="shared" ref="M7:M20" si="1">VLOOKUP(J7,$S$5:$U$49,3,0)</f>
        <v>1</v>
      </c>
      <c r="N7" s="117">
        <f t="shared" ref="N7:N20" si="2">IF($M7=2,1,0)</f>
        <v>0</v>
      </c>
      <c r="O7" s="92">
        <f t="shared" ref="O7:P20" si="3">IF($M7=2,1,0)</f>
        <v>0</v>
      </c>
      <c r="P7" s="93">
        <f t="shared" si="3"/>
        <v>0</v>
      </c>
      <c r="Q7" s="53"/>
      <c r="R7" s="134"/>
      <c r="S7" s="210" t="str">
        <f>CONCATENATE(C7," / ",D7)</f>
        <v>Comida_Ferro / Brasil</v>
      </c>
      <c r="T7" s="209">
        <f t="shared" ref="T7:U49" si="4">E7</f>
        <v>60</v>
      </c>
      <c r="U7" s="209">
        <f t="shared" si="4"/>
        <v>1</v>
      </c>
      <c r="V7" s="209" t="s">
        <v>49</v>
      </c>
      <c r="W7" s="14"/>
    </row>
    <row r="8" spans="2:23">
      <c r="B8" s="48"/>
      <c r="C8" s="119" t="s">
        <v>270</v>
      </c>
      <c r="D8" s="74" t="s">
        <v>151</v>
      </c>
      <c r="E8" s="74">
        <v>50</v>
      </c>
      <c r="F8" s="76">
        <v>1</v>
      </c>
      <c r="G8" s="53"/>
      <c r="H8" s="49"/>
      <c r="I8" s="48"/>
      <c r="J8" s="286" t="s">
        <v>169</v>
      </c>
      <c r="K8" s="287"/>
      <c r="L8" s="117">
        <f t="shared" si="0"/>
        <v>0</v>
      </c>
      <c r="M8" s="117">
        <f t="shared" si="1"/>
        <v>1</v>
      </c>
      <c r="N8" s="117">
        <f t="shared" si="2"/>
        <v>0</v>
      </c>
      <c r="O8" s="92">
        <f t="shared" si="3"/>
        <v>0</v>
      </c>
      <c r="P8" s="93">
        <f t="shared" si="3"/>
        <v>0</v>
      </c>
      <c r="Q8" s="53"/>
      <c r="R8" s="134"/>
      <c r="S8" s="210" t="str">
        <f t="shared" ref="S8:S49" si="5">CONCATENATE(C8," / ",D8)</f>
        <v>Varios_Ferro / Brasil</v>
      </c>
      <c r="T8" s="209">
        <f t="shared" si="4"/>
        <v>50</v>
      </c>
      <c r="U8" s="209">
        <f t="shared" si="4"/>
        <v>1</v>
      </c>
      <c r="V8" s="209" t="s">
        <v>144</v>
      </c>
      <c r="W8" s="14"/>
    </row>
    <row r="9" spans="2:23">
      <c r="B9" s="48"/>
      <c r="C9" s="119" t="s">
        <v>144</v>
      </c>
      <c r="D9" s="74" t="s">
        <v>5</v>
      </c>
      <c r="E9" s="74">
        <v>80</v>
      </c>
      <c r="F9" s="120">
        <v>1</v>
      </c>
      <c r="G9" s="53"/>
      <c r="H9" s="49"/>
      <c r="I9" s="48"/>
      <c r="J9" s="286" t="s">
        <v>169</v>
      </c>
      <c r="K9" s="287"/>
      <c r="L9" s="117">
        <f t="shared" si="0"/>
        <v>0</v>
      </c>
      <c r="M9" s="117">
        <f t="shared" si="1"/>
        <v>1</v>
      </c>
      <c r="N9" s="117">
        <f t="shared" si="2"/>
        <v>0</v>
      </c>
      <c r="O9" s="92">
        <f t="shared" si="3"/>
        <v>0</v>
      </c>
      <c r="P9" s="93">
        <f t="shared" si="3"/>
        <v>0</v>
      </c>
      <c r="Q9" s="53"/>
      <c r="R9" s="134"/>
      <c r="S9" s="210" t="str">
        <f t="shared" si="5"/>
        <v>Exótico / Mozambique</v>
      </c>
      <c r="T9" s="209">
        <f t="shared" si="4"/>
        <v>80</v>
      </c>
      <c r="U9" s="209">
        <f t="shared" si="4"/>
        <v>1</v>
      </c>
      <c r="V9" s="209" t="s">
        <v>144</v>
      </c>
      <c r="W9" s="14"/>
    </row>
    <row r="10" spans="2:23">
      <c r="B10" s="48"/>
      <c r="C10" s="119" t="s">
        <v>40</v>
      </c>
      <c r="D10" s="74" t="s">
        <v>146</v>
      </c>
      <c r="E10" s="74">
        <v>65</v>
      </c>
      <c r="F10" s="120">
        <v>1</v>
      </c>
      <c r="G10" s="53"/>
      <c r="H10" s="49"/>
      <c r="I10" s="48"/>
      <c r="J10" s="286" t="s">
        <v>169</v>
      </c>
      <c r="K10" s="287"/>
      <c r="L10" s="117">
        <f t="shared" si="0"/>
        <v>0</v>
      </c>
      <c r="M10" s="117">
        <f t="shared" si="1"/>
        <v>1</v>
      </c>
      <c r="N10" s="117">
        <f t="shared" si="2"/>
        <v>0</v>
      </c>
      <c r="O10" s="92">
        <f t="shared" si="3"/>
        <v>0</v>
      </c>
      <c r="P10" s="93">
        <f t="shared" si="3"/>
        <v>0</v>
      </c>
      <c r="Q10" s="53"/>
      <c r="R10" s="134"/>
      <c r="S10" s="210" t="str">
        <f t="shared" si="5"/>
        <v>Comida / Rumania</v>
      </c>
      <c r="T10" s="209">
        <f t="shared" si="4"/>
        <v>65</v>
      </c>
      <c r="U10" s="209">
        <f t="shared" si="4"/>
        <v>1</v>
      </c>
      <c r="V10" s="209" t="s">
        <v>40</v>
      </c>
      <c r="W10" s="14"/>
    </row>
    <row r="11" spans="2:23">
      <c r="B11" s="48"/>
      <c r="C11" s="119" t="s">
        <v>145</v>
      </c>
      <c r="D11" s="74" t="s">
        <v>146</v>
      </c>
      <c r="E11" s="74">
        <v>35</v>
      </c>
      <c r="F11" s="76">
        <v>2</v>
      </c>
      <c r="G11" s="53"/>
      <c r="H11" s="49"/>
      <c r="I11" s="48"/>
      <c r="J11" s="286" t="s">
        <v>169</v>
      </c>
      <c r="K11" s="287"/>
      <c r="L11" s="117">
        <f t="shared" si="0"/>
        <v>0</v>
      </c>
      <c r="M11" s="117">
        <f t="shared" si="1"/>
        <v>1</v>
      </c>
      <c r="N11" s="117">
        <f t="shared" si="2"/>
        <v>0</v>
      </c>
      <c r="O11" s="92">
        <f t="shared" si="3"/>
        <v>0</v>
      </c>
      <c r="P11" s="93">
        <f t="shared" si="3"/>
        <v>0</v>
      </c>
      <c r="Q11" s="53"/>
      <c r="R11" s="134"/>
      <c r="S11" s="210" t="str">
        <f t="shared" si="5"/>
        <v>Ferrocarril / Rumania</v>
      </c>
      <c r="T11" s="209">
        <f t="shared" si="4"/>
        <v>35</v>
      </c>
      <c r="U11" s="209">
        <f t="shared" si="4"/>
        <v>2</v>
      </c>
      <c r="V11" s="209" t="s">
        <v>145</v>
      </c>
      <c r="W11" s="14"/>
    </row>
    <row r="12" spans="2:23">
      <c r="B12" s="48"/>
      <c r="C12" s="119" t="s">
        <v>119</v>
      </c>
      <c r="D12" s="74" t="s">
        <v>6</v>
      </c>
      <c r="E12" s="74">
        <v>60</v>
      </c>
      <c r="F12" s="120">
        <v>1</v>
      </c>
      <c r="G12" s="53"/>
      <c r="H12" s="49"/>
      <c r="I12" s="48"/>
      <c r="J12" s="286" t="s">
        <v>169</v>
      </c>
      <c r="K12" s="287"/>
      <c r="L12" s="117">
        <f>VLOOKUP(J12,$S$5:$U$49,2,0)</f>
        <v>0</v>
      </c>
      <c r="M12" s="117">
        <f>VLOOKUP(J12,$S$5:$U$49,3,0)</f>
        <v>1</v>
      </c>
      <c r="N12" s="117">
        <f t="shared" si="2"/>
        <v>0</v>
      </c>
      <c r="O12" s="92">
        <f t="shared" si="3"/>
        <v>0</v>
      </c>
      <c r="P12" s="93">
        <f t="shared" si="3"/>
        <v>0</v>
      </c>
      <c r="Q12" s="53"/>
      <c r="R12" s="134"/>
      <c r="S12" s="210" t="str">
        <f t="shared" si="5"/>
        <v>Carbón / Serbia</v>
      </c>
      <c r="T12" s="209">
        <f t="shared" si="4"/>
        <v>60</v>
      </c>
      <c r="U12" s="209">
        <f t="shared" si="4"/>
        <v>1</v>
      </c>
      <c r="V12" s="209" t="s">
        <v>119</v>
      </c>
      <c r="W12" s="14"/>
    </row>
    <row r="13" spans="2:23">
      <c r="B13" s="48"/>
      <c r="C13" s="119" t="s">
        <v>44</v>
      </c>
      <c r="D13" s="74" t="s">
        <v>147</v>
      </c>
      <c r="E13" s="74">
        <v>50</v>
      </c>
      <c r="F13" s="120">
        <v>1</v>
      </c>
      <c r="G13" s="53"/>
      <c r="H13" s="49"/>
      <c r="I13" s="48"/>
      <c r="J13" s="286" t="s">
        <v>169</v>
      </c>
      <c r="K13" s="287"/>
      <c r="L13" s="117">
        <f>VLOOKUP(J13,$S$5:$U$49,2,0)</f>
        <v>0</v>
      </c>
      <c r="M13" s="117">
        <f>VLOOKUP(J13,$S$5:$U$49,3,0)</f>
        <v>1</v>
      </c>
      <c r="N13" s="117">
        <f t="shared" si="2"/>
        <v>0</v>
      </c>
      <c r="O13" s="92">
        <f t="shared" si="3"/>
        <v>0</v>
      </c>
      <c r="P13" s="93">
        <f t="shared" si="3"/>
        <v>0</v>
      </c>
      <c r="Q13" s="53"/>
      <c r="R13" s="134"/>
      <c r="S13" s="210" t="str">
        <f t="shared" si="5"/>
        <v>Hierro / Suecia</v>
      </c>
      <c r="T13" s="209">
        <f t="shared" si="4"/>
        <v>50</v>
      </c>
      <c r="U13" s="209">
        <f t="shared" si="4"/>
        <v>1</v>
      </c>
      <c r="V13" s="209" t="s">
        <v>44</v>
      </c>
      <c r="W13" s="14"/>
    </row>
    <row r="14" spans="2:23">
      <c r="B14" s="48"/>
      <c r="C14" s="119" t="s">
        <v>44</v>
      </c>
      <c r="D14" s="74" t="s">
        <v>147</v>
      </c>
      <c r="E14" s="74">
        <v>50</v>
      </c>
      <c r="F14" s="120">
        <v>1</v>
      </c>
      <c r="G14" s="53"/>
      <c r="H14" s="49"/>
      <c r="I14" s="48"/>
      <c r="J14" s="286" t="s">
        <v>169</v>
      </c>
      <c r="K14" s="287"/>
      <c r="L14" s="117">
        <f>VLOOKUP(J14,$S$5:$U$49,2,0)</f>
        <v>0</v>
      </c>
      <c r="M14" s="117">
        <f>VLOOKUP(J14,$S$5:$U$49,3,0)</f>
        <v>1</v>
      </c>
      <c r="N14" s="117">
        <f t="shared" si="2"/>
        <v>0</v>
      </c>
      <c r="O14" s="92">
        <f t="shared" si="3"/>
        <v>0</v>
      </c>
      <c r="P14" s="93">
        <f t="shared" si="3"/>
        <v>0</v>
      </c>
      <c r="Q14" s="53"/>
      <c r="R14" s="134"/>
      <c r="S14" s="210" t="str">
        <f t="shared" si="5"/>
        <v>Hierro / Suecia</v>
      </c>
      <c r="T14" s="209">
        <f t="shared" si="4"/>
        <v>50</v>
      </c>
      <c r="U14" s="209">
        <f t="shared" si="4"/>
        <v>1</v>
      </c>
      <c r="V14" s="209" t="s">
        <v>44</v>
      </c>
      <c r="W14" s="14"/>
    </row>
    <row r="15" spans="2:23">
      <c r="B15" s="48"/>
      <c r="C15" s="119" t="s">
        <v>144</v>
      </c>
      <c r="D15" s="74" t="s">
        <v>148</v>
      </c>
      <c r="E15" s="74">
        <v>65</v>
      </c>
      <c r="F15" s="120">
        <v>1</v>
      </c>
      <c r="G15" s="53"/>
      <c r="H15" s="49"/>
      <c r="I15" s="48"/>
      <c r="J15" s="286" t="s">
        <v>169</v>
      </c>
      <c r="K15" s="287"/>
      <c r="L15" s="117">
        <f>VLOOKUP(J15,$S$5:$U$49,2,0)</f>
        <v>0</v>
      </c>
      <c r="M15" s="117">
        <f>VLOOKUP(J15,$S$5:$U$49,3,0)</f>
        <v>1</v>
      </c>
      <c r="N15" s="117">
        <f t="shared" si="2"/>
        <v>0</v>
      </c>
      <c r="O15" s="92">
        <f t="shared" si="3"/>
        <v>0</v>
      </c>
      <c r="P15" s="93">
        <f t="shared" si="3"/>
        <v>0</v>
      </c>
      <c r="Q15" s="53"/>
      <c r="R15" s="134"/>
      <c r="S15" s="210" t="str">
        <f t="shared" si="5"/>
        <v>Exótico / Hawai</v>
      </c>
      <c r="T15" s="209">
        <f t="shared" si="4"/>
        <v>65</v>
      </c>
      <c r="U15" s="209">
        <f t="shared" si="4"/>
        <v>1</v>
      </c>
      <c r="V15" s="209" t="s">
        <v>144</v>
      </c>
      <c r="W15" s="14"/>
    </row>
    <row r="16" spans="2:23">
      <c r="B16" s="48"/>
      <c r="C16" s="119" t="s">
        <v>144</v>
      </c>
      <c r="D16" s="74" t="s">
        <v>149</v>
      </c>
      <c r="E16" s="74">
        <v>65</v>
      </c>
      <c r="F16" s="120">
        <v>1</v>
      </c>
      <c r="G16" s="53"/>
      <c r="H16" s="49"/>
      <c r="I16" s="48"/>
      <c r="J16" s="286" t="s">
        <v>169</v>
      </c>
      <c r="K16" s="287"/>
      <c r="L16" s="117">
        <f>VLOOKUP(J16,$S$5:$U$49,2,0)</f>
        <v>0</v>
      </c>
      <c r="M16" s="117">
        <f>VLOOKUP(J16,$S$5:$U$49,3,0)</f>
        <v>1</v>
      </c>
      <c r="N16" s="117">
        <f t="shared" si="2"/>
        <v>0</v>
      </c>
      <c r="O16" s="92">
        <f t="shared" si="3"/>
        <v>0</v>
      </c>
      <c r="P16" s="93">
        <f t="shared" si="3"/>
        <v>0</v>
      </c>
      <c r="Q16" s="53"/>
      <c r="R16" s="134"/>
      <c r="S16" s="210" t="str">
        <f t="shared" si="5"/>
        <v>Exótico / Laoss</v>
      </c>
      <c r="T16" s="209">
        <f t="shared" si="4"/>
        <v>65</v>
      </c>
      <c r="U16" s="209">
        <f t="shared" si="4"/>
        <v>1</v>
      </c>
      <c r="V16" s="209" t="s">
        <v>144</v>
      </c>
      <c r="W16" s="14"/>
    </row>
    <row r="17" spans="2:23">
      <c r="B17" s="48"/>
      <c r="C17" s="119" t="s">
        <v>145</v>
      </c>
      <c r="D17" s="74" t="s">
        <v>7</v>
      </c>
      <c r="E17" s="74">
        <v>50</v>
      </c>
      <c r="F17" s="76">
        <v>2</v>
      </c>
      <c r="G17" s="53"/>
      <c r="H17" s="49"/>
      <c r="I17" s="48"/>
      <c r="J17" s="286" t="s">
        <v>169</v>
      </c>
      <c r="K17" s="287"/>
      <c r="L17" s="117">
        <f t="shared" si="0"/>
        <v>0</v>
      </c>
      <c r="M17" s="117">
        <f t="shared" si="1"/>
        <v>1</v>
      </c>
      <c r="N17" s="117">
        <f t="shared" si="2"/>
        <v>0</v>
      </c>
      <c r="O17" s="92">
        <f t="shared" si="3"/>
        <v>0</v>
      </c>
      <c r="P17" s="93">
        <f t="shared" si="3"/>
        <v>0</v>
      </c>
      <c r="Q17" s="53"/>
      <c r="R17" s="134"/>
      <c r="S17" s="210" t="str">
        <f t="shared" si="5"/>
        <v>Ferrocarril / Persia</v>
      </c>
      <c r="T17" s="209">
        <f t="shared" si="4"/>
        <v>50</v>
      </c>
      <c r="U17" s="209">
        <f t="shared" si="4"/>
        <v>2</v>
      </c>
      <c r="V17" s="209" t="s">
        <v>145</v>
      </c>
      <c r="W17" s="14"/>
    </row>
    <row r="18" spans="2:23">
      <c r="B18" s="48"/>
      <c r="C18" s="119" t="s">
        <v>144</v>
      </c>
      <c r="D18" s="74" t="s">
        <v>8</v>
      </c>
      <c r="E18" s="74">
        <v>65</v>
      </c>
      <c r="F18" s="120">
        <v>1</v>
      </c>
      <c r="G18" s="53"/>
      <c r="H18" s="49"/>
      <c r="I18" s="48"/>
      <c r="J18" s="286" t="s">
        <v>169</v>
      </c>
      <c r="K18" s="287"/>
      <c r="L18" s="117">
        <f t="shared" si="0"/>
        <v>0</v>
      </c>
      <c r="M18" s="117">
        <f t="shared" si="1"/>
        <v>1</v>
      </c>
      <c r="N18" s="117">
        <f t="shared" si="2"/>
        <v>0</v>
      </c>
      <c r="O18" s="92">
        <f t="shared" si="3"/>
        <v>0</v>
      </c>
      <c r="P18" s="93">
        <f t="shared" si="3"/>
        <v>0</v>
      </c>
      <c r="Q18" s="53"/>
      <c r="R18" s="134"/>
      <c r="S18" s="210" t="str">
        <f t="shared" si="5"/>
        <v>Exótico / Siam</v>
      </c>
      <c r="T18" s="209">
        <f t="shared" si="4"/>
        <v>65</v>
      </c>
      <c r="U18" s="209">
        <f t="shared" si="4"/>
        <v>1</v>
      </c>
      <c r="V18" s="209" t="s">
        <v>144</v>
      </c>
      <c r="W18" s="14"/>
    </row>
    <row r="19" spans="2:23">
      <c r="B19" s="48"/>
      <c r="C19" s="119" t="s">
        <v>145</v>
      </c>
      <c r="D19" s="74" t="s">
        <v>150</v>
      </c>
      <c r="E19" s="74">
        <v>40</v>
      </c>
      <c r="F19" s="76">
        <v>2</v>
      </c>
      <c r="G19" s="53"/>
      <c r="H19" s="49"/>
      <c r="I19" s="48"/>
      <c r="J19" s="286" t="s">
        <v>169</v>
      </c>
      <c r="K19" s="287"/>
      <c r="L19" s="117">
        <f t="shared" si="0"/>
        <v>0</v>
      </c>
      <c r="M19" s="117">
        <f t="shared" si="1"/>
        <v>1</v>
      </c>
      <c r="N19" s="117">
        <f t="shared" si="2"/>
        <v>0</v>
      </c>
      <c r="O19" s="92">
        <f t="shared" si="3"/>
        <v>0</v>
      </c>
      <c r="P19" s="93">
        <f t="shared" si="3"/>
        <v>0</v>
      </c>
      <c r="Q19" s="53"/>
      <c r="R19" s="134"/>
      <c r="S19" s="210" t="str">
        <f t="shared" si="5"/>
        <v>Ferrocarril / Etiopía</v>
      </c>
      <c r="T19" s="209">
        <f t="shared" si="4"/>
        <v>40</v>
      </c>
      <c r="U19" s="209">
        <f t="shared" si="4"/>
        <v>2</v>
      </c>
      <c r="V19" s="209" t="s">
        <v>145</v>
      </c>
      <c r="W19" s="14"/>
    </row>
    <row r="20" spans="2:23" ht="13.5" thickBot="1">
      <c r="B20" s="48"/>
      <c r="C20" s="119" t="s">
        <v>145</v>
      </c>
      <c r="D20" s="74" t="s">
        <v>9</v>
      </c>
      <c r="E20" s="74">
        <v>45</v>
      </c>
      <c r="F20" s="76">
        <v>2</v>
      </c>
      <c r="G20" s="53"/>
      <c r="H20" s="49"/>
      <c r="I20" s="48"/>
      <c r="J20" s="292" t="s">
        <v>169</v>
      </c>
      <c r="K20" s="287"/>
      <c r="L20" s="117">
        <f t="shared" si="0"/>
        <v>0</v>
      </c>
      <c r="M20" s="121">
        <f t="shared" si="1"/>
        <v>1</v>
      </c>
      <c r="N20" s="122">
        <f t="shared" si="2"/>
        <v>0</v>
      </c>
      <c r="O20" s="94">
        <f t="shared" si="3"/>
        <v>0</v>
      </c>
      <c r="P20" s="95">
        <f t="shared" si="3"/>
        <v>0</v>
      </c>
      <c r="Q20" s="53"/>
      <c r="R20" s="134"/>
      <c r="S20" s="210" t="str">
        <f t="shared" si="5"/>
        <v>Ferrocarril / Argentina</v>
      </c>
      <c r="T20" s="209">
        <f t="shared" si="4"/>
        <v>45</v>
      </c>
      <c r="U20" s="209">
        <f t="shared" si="4"/>
        <v>2</v>
      </c>
      <c r="V20" s="209" t="s">
        <v>145</v>
      </c>
      <c r="W20" s="14"/>
    </row>
    <row r="21" spans="2:23" ht="14.25" thickTop="1" thickBot="1">
      <c r="B21" s="48"/>
      <c r="C21" s="119" t="s">
        <v>40</v>
      </c>
      <c r="D21" s="74" t="s">
        <v>9</v>
      </c>
      <c r="E21" s="74">
        <v>60</v>
      </c>
      <c r="F21" s="120">
        <v>1</v>
      </c>
      <c r="G21" s="53"/>
      <c r="H21" s="49"/>
      <c r="I21" s="48"/>
      <c r="J21" s="137"/>
      <c r="K21" s="123" t="s">
        <v>162</v>
      </c>
      <c r="L21" s="124">
        <f>SUM(L6:L20)</f>
        <v>0</v>
      </c>
      <c r="M21" s="49"/>
      <c r="N21" s="125">
        <f>SUM(N6:N20)</f>
        <v>0</v>
      </c>
      <c r="O21" s="126">
        <f>SUM(O6:O20)</f>
        <v>0</v>
      </c>
      <c r="P21" s="98">
        <f>SUM(P6:P20)</f>
        <v>0</v>
      </c>
      <c r="Q21" s="53"/>
      <c r="R21" s="134"/>
      <c r="S21" s="210" t="str">
        <f t="shared" si="5"/>
        <v>Comida / Argentina</v>
      </c>
      <c r="T21" s="209">
        <f t="shared" si="4"/>
        <v>60</v>
      </c>
      <c r="U21" s="209">
        <f t="shared" si="4"/>
        <v>1</v>
      </c>
      <c r="V21" s="209" t="s">
        <v>40</v>
      </c>
      <c r="W21" s="14"/>
    </row>
    <row r="22" spans="2:23" ht="13.5" thickTop="1">
      <c r="B22" s="48"/>
      <c r="C22" s="119" t="s">
        <v>42</v>
      </c>
      <c r="D22" s="74" t="s">
        <v>9</v>
      </c>
      <c r="E22" s="74">
        <v>65</v>
      </c>
      <c r="F22" s="120">
        <v>1</v>
      </c>
      <c r="G22" s="53"/>
      <c r="H22" s="49"/>
      <c r="I22" s="48"/>
      <c r="J22" s="49"/>
      <c r="K22" s="49"/>
      <c r="L22" s="49"/>
      <c r="M22" s="49"/>
      <c r="N22" s="49"/>
      <c r="O22" s="49"/>
      <c r="P22" s="49"/>
      <c r="Q22" s="53"/>
      <c r="R22" s="134"/>
      <c r="S22" s="210" t="str">
        <f t="shared" si="5"/>
        <v>Varios / Argentina</v>
      </c>
      <c r="T22" s="209">
        <f t="shared" si="4"/>
        <v>65</v>
      </c>
      <c r="U22" s="209">
        <f t="shared" si="4"/>
        <v>1</v>
      </c>
      <c r="V22" s="209" t="s">
        <v>42</v>
      </c>
      <c r="W22" s="14"/>
    </row>
    <row r="23" spans="2:23" ht="13.5" thickBot="1">
      <c r="B23" s="48"/>
      <c r="C23" s="119" t="s">
        <v>42</v>
      </c>
      <c r="D23" s="74" t="s">
        <v>9</v>
      </c>
      <c r="E23" s="74">
        <v>65</v>
      </c>
      <c r="F23" s="120">
        <v>1</v>
      </c>
      <c r="G23" s="53"/>
      <c r="H23" s="49"/>
      <c r="I23" s="59"/>
      <c r="J23" s="60"/>
      <c r="K23" s="60"/>
      <c r="L23" s="60"/>
      <c r="M23" s="60"/>
      <c r="N23" s="60"/>
      <c r="O23" s="60"/>
      <c r="P23" s="60"/>
      <c r="Q23" s="62"/>
      <c r="R23" s="134"/>
      <c r="S23" s="210" t="str">
        <f t="shared" si="5"/>
        <v>Varios / Argentina</v>
      </c>
      <c r="T23" s="209">
        <f t="shared" si="4"/>
        <v>65</v>
      </c>
      <c r="U23" s="209">
        <f t="shared" si="4"/>
        <v>1</v>
      </c>
      <c r="V23" s="209" t="s">
        <v>42</v>
      </c>
      <c r="W23" s="14"/>
    </row>
    <row r="24" spans="2:23">
      <c r="B24" s="48"/>
      <c r="C24" s="119" t="s">
        <v>49</v>
      </c>
      <c r="D24" s="74" t="s">
        <v>9</v>
      </c>
      <c r="E24" s="74">
        <v>90</v>
      </c>
      <c r="F24" s="120">
        <v>1</v>
      </c>
      <c r="G24" s="53"/>
      <c r="H24" s="49"/>
      <c r="R24" s="134"/>
      <c r="S24" s="210" t="str">
        <f t="shared" si="5"/>
        <v>Industria / Argentina</v>
      </c>
      <c r="T24" s="209">
        <f t="shared" si="4"/>
        <v>90</v>
      </c>
      <c r="U24" s="209">
        <f t="shared" si="4"/>
        <v>1</v>
      </c>
      <c r="V24" s="209" t="s">
        <v>49</v>
      </c>
      <c r="W24" s="14"/>
    </row>
    <row r="25" spans="2:23">
      <c r="B25" s="48"/>
      <c r="C25" s="119" t="s">
        <v>145</v>
      </c>
      <c r="D25" s="74" t="s">
        <v>151</v>
      </c>
      <c r="E25" s="74">
        <v>45</v>
      </c>
      <c r="F25" s="76">
        <v>2</v>
      </c>
      <c r="G25" s="53"/>
      <c r="H25" s="49"/>
      <c r="M25"/>
      <c r="R25" s="134"/>
      <c r="S25" s="210" t="str">
        <f t="shared" si="5"/>
        <v>Ferrocarril / Brasil</v>
      </c>
      <c r="T25" s="209">
        <f t="shared" si="4"/>
        <v>45</v>
      </c>
      <c r="U25" s="209">
        <f t="shared" si="4"/>
        <v>2</v>
      </c>
      <c r="V25" s="209" t="s">
        <v>145</v>
      </c>
      <c r="W25" s="14"/>
    </row>
    <row r="26" spans="2:23">
      <c r="B26" s="48"/>
      <c r="C26" s="119" t="s">
        <v>144</v>
      </c>
      <c r="D26" s="74" t="s">
        <v>151</v>
      </c>
      <c r="E26" s="74">
        <v>60</v>
      </c>
      <c r="F26" s="120">
        <v>1</v>
      </c>
      <c r="G26" s="53"/>
      <c r="H26" s="49"/>
      <c r="J26"/>
      <c r="O26"/>
      <c r="R26" s="134"/>
      <c r="S26" s="210" t="str">
        <f t="shared" si="5"/>
        <v>Exótico / Brasil</v>
      </c>
      <c r="T26" s="209">
        <f t="shared" si="4"/>
        <v>60</v>
      </c>
      <c r="U26" s="209">
        <f t="shared" si="4"/>
        <v>1</v>
      </c>
      <c r="V26" s="209" t="s">
        <v>144</v>
      </c>
      <c r="W26" s="14"/>
    </row>
    <row r="27" spans="2:23" ht="13.5" thickBot="1">
      <c r="B27" s="48"/>
      <c r="C27" s="119" t="s">
        <v>144</v>
      </c>
      <c r="D27" s="74" t="s">
        <v>151</v>
      </c>
      <c r="E27" s="74">
        <v>60</v>
      </c>
      <c r="F27" s="120">
        <v>1</v>
      </c>
      <c r="G27" s="53"/>
      <c r="H27" s="49"/>
      <c r="R27" s="134"/>
      <c r="S27" s="210" t="str">
        <f t="shared" si="5"/>
        <v>Exótico / Brasil</v>
      </c>
      <c r="T27" s="209">
        <f t="shared" si="4"/>
        <v>60</v>
      </c>
      <c r="U27" s="209">
        <f t="shared" si="4"/>
        <v>1</v>
      </c>
      <c r="V27" s="209" t="s">
        <v>144</v>
      </c>
      <c r="W27" s="14"/>
    </row>
    <row r="28" spans="2:23">
      <c r="B28" s="48"/>
      <c r="C28" s="119" t="s">
        <v>49</v>
      </c>
      <c r="D28" s="74" t="s">
        <v>151</v>
      </c>
      <c r="E28" s="74">
        <v>85</v>
      </c>
      <c r="F28" s="120">
        <v>1</v>
      </c>
      <c r="G28" s="53"/>
      <c r="H28" s="49"/>
      <c r="I28" s="44"/>
      <c r="J28" s="45"/>
      <c r="K28" s="45"/>
      <c r="L28" s="45"/>
      <c r="M28" s="45"/>
      <c r="N28" s="45"/>
      <c r="O28" s="45"/>
      <c r="P28" s="45"/>
      <c r="Q28" s="47"/>
      <c r="R28" s="134"/>
      <c r="S28" s="210" t="str">
        <f t="shared" si="5"/>
        <v>Industria / Brasil</v>
      </c>
      <c r="T28" s="209">
        <f t="shared" si="4"/>
        <v>85</v>
      </c>
      <c r="U28" s="209">
        <f t="shared" si="4"/>
        <v>1</v>
      </c>
      <c r="V28" s="209" t="s">
        <v>49</v>
      </c>
      <c r="W28" s="14"/>
    </row>
    <row r="29" spans="2:23">
      <c r="B29" s="48"/>
      <c r="C29" s="119" t="s">
        <v>42</v>
      </c>
      <c r="D29" s="74" t="s">
        <v>151</v>
      </c>
      <c r="E29" s="74">
        <v>70</v>
      </c>
      <c r="F29" s="120">
        <v>1</v>
      </c>
      <c r="G29" s="53"/>
      <c r="H29" s="49"/>
      <c r="I29" s="48"/>
      <c r="J29" s="49"/>
      <c r="K29" s="278" t="s">
        <v>163</v>
      </c>
      <c r="L29" s="278"/>
      <c r="M29" s="278"/>
      <c r="N29" s="278"/>
      <c r="O29" s="278"/>
      <c r="P29" s="49"/>
      <c r="Q29" s="53"/>
      <c r="R29" s="134"/>
      <c r="S29" s="210" t="str">
        <f t="shared" si="5"/>
        <v>Varios / Brasil</v>
      </c>
      <c r="T29" s="209">
        <f t="shared" si="4"/>
        <v>70</v>
      </c>
      <c r="U29" s="209">
        <f t="shared" si="4"/>
        <v>1</v>
      </c>
      <c r="V29" s="209" t="s">
        <v>42</v>
      </c>
      <c r="W29" s="14"/>
    </row>
    <row r="30" spans="2:23" ht="13.5" thickBot="1">
      <c r="B30" s="48"/>
      <c r="C30" s="119" t="s">
        <v>144</v>
      </c>
      <c r="D30" s="74" t="s">
        <v>152</v>
      </c>
      <c r="E30" s="74">
        <v>60</v>
      </c>
      <c r="F30" s="120">
        <v>1</v>
      </c>
      <c r="G30" s="53"/>
      <c r="H30" s="49"/>
      <c r="I30" s="48"/>
      <c r="J30" s="49"/>
      <c r="K30" s="49"/>
      <c r="L30" s="49"/>
      <c r="M30" s="49"/>
      <c r="N30" s="49"/>
      <c r="O30" s="49"/>
      <c r="P30" s="49"/>
      <c r="Q30" s="53"/>
      <c r="R30" s="134"/>
      <c r="S30" s="210" t="str">
        <f t="shared" si="5"/>
        <v>Exótico / Colombia</v>
      </c>
      <c r="T30" s="209">
        <f t="shared" si="4"/>
        <v>60</v>
      </c>
      <c r="U30" s="209">
        <f t="shared" si="4"/>
        <v>1</v>
      </c>
      <c r="V30" s="209" t="s">
        <v>144</v>
      </c>
      <c r="W30" s="14"/>
    </row>
    <row r="31" spans="2:23" ht="14.25" thickTop="1" thickBot="1">
      <c r="B31" s="48"/>
      <c r="C31" s="119" t="s">
        <v>40</v>
      </c>
      <c r="D31" s="74" t="s">
        <v>152</v>
      </c>
      <c r="E31" s="74">
        <v>65</v>
      </c>
      <c r="F31" s="120">
        <v>1</v>
      </c>
      <c r="G31" s="53"/>
      <c r="H31" s="49"/>
      <c r="I31" s="48"/>
      <c r="J31" s="288" t="s">
        <v>155</v>
      </c>
      <c r="K31" s="289"/>
      <c r="L31" s="111" t="s">
        <v>136</v>
      </c>
      <c r="M31" s="111" t="s">
        <v>156</v>
      </c>
      <c r="N31" s="111" t="s">
        <v>49</v>
      </c>
      <c r="O31" s="111" t="s">
        <v>119</v>
      </c>
      <c r="P31" s="113" t="s">
        <v>44</v>
      </c>
      <c r="Q31" s="53"/>
      <c r="R31" s="134"/>
      <c r="S31" s="210" t="str">
        <f t="shared" si="5"/>
        <v>Comida / Colombia</v>
      </c>
      <c r="T31" s="209">
        <f t="shared" si="4"/>
        <v>65</v>
      </c>
      <c r="U31" s="209">
        <f t="shared" si="4"/>
        <v>1</v>
      </c>
      <c r="V31" s="209" t="s">
        <v>40</v>
      </c>
      <c r="W31" s="14"/>
    </row>
    <row r="32" spans="2:23" ht="13.5" thickTop="1">
      <c r="B32" s="48"/>
      <c r="C32" s="119" t="s">
        <v>145</v>
      </c>
      <c r="D32" s="74" t="s">
        <v>152</v>
      </c>
      <c r="E32" s="74">
        <v>65</v>
      </c>
      <c r="F32" s="76">
        <v>2</v>
      </c>
      <c r="G32" s="53"/>
      <c r="H32" s="49"/>
      <c r="I32" s="48"/>
      <c r="J32" s="290" t="s">
        <v>271</v>
      </c>
      <c r="K32" s="291"/>
      <c r="L32" s="117">
        <f>VLOOKUP(J32,$S$5:$U$49,2,0)</f>
        <v>65</v>
      </c>
      <c r="M32" s="117"/>
      <c r="N32" s="117">
        <f>IF($M32=2,1,0)</f>
        <v>0</v>
      </c>
      <c r="O32" s="117">
        <f>IF($M32=2,1,0)</f>
        <v>0</v>
      </c>
      <c r="P32" s="118">
        <f>IF($M32=2,1,0)</f>
        <v>0</v>
      </c>
      <c r="Q32" s="53"/>
      <c r="R32" s="134"/>
      <c r="S32" s="210" t="str">
        <f t="shared" si="5"/>
        <v>Ferrocarril / Colombia</v>
      </c>
      <c r="T32" s="209">
        <f t="shared" si="4"/>
        <v>65</v>
      </c>
      <c r="U32" s="209">
        <f t="shared" si="4"/>
        <v>2</v>
      </c>
      <c r="V32" s="209" t="s">
        <v>145</v>
      </c>
      <c r="W32" s="14"/>
    </row>
    <row r="33" spans="2:23">
      <c r="B33" s="48"/>
      <c r="C33" s="119" t="s">
        <v>153</v>
      </c>
      <c r="D33" s="74" t="s">
        <v>152</v>
      </c>
      <c r="E33" s="74">
        <v>64</v>
      </c>
      <c r="F33" s="76">
        <v>10</v>
      </c>
      <c r="G33" s="53"/>
      <c r="H33" s="49"/>
      <c r="I33" s="48"/>
      <c r="J33" s="290" t="s">
        <v>271</v>
      </c>
      <c r="K33" s="291"/>
      <c r="L33" s="117">
        <f t="shared" ref="L33:L41" si="6">VLOOKUP(J33,$S$5:$U$49,2,0)</f>
        <v>65</v>
      </c>
      <c r="M33" s="92"/>
      <c r="N33" s="117">
        <f t="shared" ref="N33:P41" si="7">IF($M33=2,1,0)</f>
        <v>0</v>
      </c>
      <c r="O33" s="92">
        <f t="shared" si="7"/>
        <v>0</v>
      </c>
      <c r="P33" s="93">
        <f t="shared" si="7"/>
        <v>0</v>
      </c>
      <c r="Q33" s="53"/>
      <c r="R33" s="134"/>
      <c r="S33" s="210" t="str">
        <f t="shared" si="5"/>
        <v>Canal de Panamá / Colombia</v>
      </c>
      <c r="T33" s="209">
        <f t="shared" si="4"/>
        <v>64</v>
      </c>
      <c r="U33" s="209">
        <f t="shared" si="4"/>
        <v>10</v>
      </c>
      <c r="V33" s="209" t="s">
        <v>153</v>
      </c>
      <c r="W33" s="14"/>
    </row>
    <row r="34" spans="2:23">
      <c r="B34" s="48"/>
      <c r="C34" s="119" t="s">
        <v>145</v>
      </c>
      <c r="D34" s="74" t="s">
        <v>10</v>
      </c>
      <c r="E34" s="74">
        <v>45</v>
      </c>
      <c r="F34" s="76">
        <v>2</v>
      </c>
      <c r="G34" s="53"/>
      <c r="H34" s="49"/>
      <c r="I34" s="48"/>
      <c r="J34" s="290" t="s">
        <v>271</v>
      </c>
      <c r="K34" s="291"/>
      <c r="L34" s="117">
        <f t="shared" si="6"/>
        <v>65</v>
      </c>
      <c r="M34" s="92"/>
      <c r="N34" s="117">
        <f t="shared" si="7"/>
        <v>0</v>
      </c>
      <c r="O34" s="92">
        <f t="shared" si="7"/>
        <v>0</v>
      </c>
      <c r="P34" s="93">
        <f t="shared" si="7"/>
        <v>0</v>
      </c>
      <c r="Q34" s="53"/>
      <c r="R34" s="134"/>
      <c r="S34" s="210" t="str">
        <f t="shared" si="5"/>
        <v>Ferrocarril / Chile</v>
      </c>
      <c r="T34" s="209">
        <f t="shared" si="4"/>
        <v>45</v>
      </c>
      <c r="U34" s="209">
        <f t="shared" si="4"/>
        <v>2</v>
      </c>
      <c r="V34" s="209" t="s">
        <v>42</v>
      </c>
      <c r="W34" s="14"/>
    </row>
    <row r="35" spans="2:23">
      <c r="B35" s="48"/>
      <c r="C35" s="119" t="s">
        <v>40</v>
      </c>
      <c r="D35" s="74" t="s">
        <v>11</v>
      </c>
      <c r="E35" s="74">
        <v>65</v>
      </c>
      <c r="F35" s="120">
        <v>1</v>
      </c>
      <c r="G35" s="53"/>
      <c r="H35" s="49"/>
      <c r="I35" s="48"/>
      <c r="J35" s="290" t="s">
        <v>272</v>
      </c>
      <c r="K35" s="291"/>
      <c r="L35" s="117">
        <f t="shared" si="6"/>
        <v>65</v>
      </c>
      <c r="M35" s="92"/>
      <c r="N35" s="117">
        <f t="shared" si="7"/>
        <v>0</v>
      </c>
      <c r="O35" s="92">
        <f t="shared" si="7"/>
        <v>0</v>
      </c>
      <c r="P35" s="93">
        <f t="shared" si="7"/>
        <v>0</v>
      </c>
      <c r="Q35" s="53"/>
      <c r="R35" s="134"/>
      <c r="S35" s="210" t="str">
        <f t="shared" si="5"/>
        <v>Comida / Ecuador</v>
      </c>
      <c r="T35" s="209">
        <f t="shared" si="4"/>
        <v>65</v>
      </c>
      <c r="U35" s="209">
        <f t="shared" si="4"/>
        <v>1</v>
      </c>
      <c r="V35" s="209" t="s">
        <v>145</v>
      </c>
      <c r="W35" s="14"/>
    </row>
    <row r="36" spans="2:23">
      <c r="B36" s="48"/>
      <c r="C36" s="119" t="s">
        <v>40</v>
      </c>
      <c r="D36" s="74" t="s">
        <v>12</v>
      </c>
      <c r="E36" s="74">
        <v>70</v>
      </c>
      <c r="F36" s="120">
        <v>1</v>
      </c>
      <c r="G36" s="53"/>
      <c r="H36" s="49"/>
      <c r="I36" s="48"/>
      <c r="J36" s="290" t="s">
        <v>273</v>
      </c>
      <c r="K36" s="291"/>
      <c r="L36" s="117">
        <f t="shared" si="6"/>
        <v>50</v>
      </c>
      <c r="M36" s="92"/>
      <c r="N36" s="117">
        <f t="shared" si="7"/>
        <v>0</v>
      </c>
      <c r="O36" s="92">
        <f t="shared" si="7"/>
        <v>0</v>
      </c>
      <c r="P36" s="93">
        <f t="shared" si="7"/>
        <v>0</v>
      </c>
      <c r="Q36" s="53"/>
      <c r="R36" s="134"/>
      <c r="S36" s="210" t="str">
        <f t="shared" si="5"/>
        <v>Comida / Guatemala</v>
      </c>
      <c r="T36" s="209">
        <f t="shared" si="4"/>
        <v>70</v>
      </c>
      <c r="U36" s="209">
        <f t="shared" si="4"/>
        <v>1</v>
      </c>
      <c r="V36" s="209" t="s">
        <v>40</v>
      </c>
      <c r="W36" s="14"/>
    </row>
    <row r="37" spans="2:23">
      <c r="B37" s="48"/>
      <c r="C37" s="119" t="s">
        <v>154</v>
      </c>
      <c r="D37" s="74" t="s">
        <v>13</v>
      </c>
      <c r="E37" s="74">
        <v>75</v>
      </c>
      <c r="F37" s="76">
        <v>12</v>
      </c>
      <c r="G37" s="53"/>
      <c r="H37" s="49"/>
      <c r="I37" s="48"/>
      <c r="J37" s="290" t="s">
        <v>274</v>
      </c>
      <c r="K37" s="291"/>
      <c r="L37" s="117">
        <f t="shared" si="6"/>
        <v>85</v>
      </c>
      <c r="M37" s="92"/>
      <c r="N37" s="117">
        <f t="shared" si="7"/>
        <v>0</v>
      </c>
      <c r="O37" s="92">
        <f t="shared" si="7"/>
        <v>0</v>
      </c>
      <c r="P37" s="93">
        <f t="shared" si="7"/>
        <v>0</v>
      </c>
      <c r="Q37" s="53"/>
      <c r="R37" s="134"/>
      <c r="S37" s="210" t="str">
        <f t="shared" si="5"/>
        <v>Canal de Nicaragua / Nicaragua</v>
      </c>
      <c r="T37" s="209">
        <f t="shared" si="4"/>
        <v>75</v>
      </c>
      <c r="U37" s="209">
        <f t="shared" si="4"/>
        <v>12</v>
      </c>
      <c r="V37" s="209" t="s">
        <v>40</v>
      </c>
      <c r="W37" s="14"/>
    </row>
    <row r="38" spans="2:23">
      <c r="B38" s="48"/>
      <c r="C38" s="119" t="s">
        <v>144</v>
      </c>
      <c r="D38" s="74" t="s">
        <v>14</v>
      </c>
      <c r="E38" s="74">
        <v>65</v>
      </c>
      <c r="F38" s="120">
        <v>1</v>
      </c>
      <c r="G38" s="53"/>
      <c r="H38" s="49"/>
      <c r="I38" s="48"/>
      <c r="J38" s="290" t="s">
        <v>169</v>
      </c>
      <c r="K38" s="291"/>
      <c r="L38" s="117">
        <f t="shared" si="6"/>
        <v>0</v>
      </c>
      <c r="M38" s="92"/>
      <c r="N38" s="117">
        <f t="shared" si="7"/>
        <v>0</v>
      </c>
      <c r="O38" s="92">
        <f t="shared" si="7"/>
        <v>0</v>
      </c>
      <c r="P38" s="93">
        <f t="shared" si="7"/>
        <v>0</v>
      </c>
      <c r="Q38" s="53"/>
      <c r="R38" s="134"/>
      <c r="S38" s="210" t="str">
        <f t="shared" si="5"/>
        <v>Exótico / Peru</v>
      </c>
      <c r="T38" s="209">
        <f t="shared" si="4"/>
        <v>65</v>
      </c>
      <c r="U38" s="209">
        <f t="shared" si="4"/>
        <v>1</v>
      </c>
      <c r="V38" s="209" t="s">
        <v>154</v>
      </c>
      <c r="W38" s="14"/>
    </row>
    <row r="39" spans="2:23">
      <c r="B39" s="48"/>
      <c r="C39" s="119" t="s">
        <v>42</v>
      </c>
      <c r="D39" s="74" t="s">
        <v>15</v>
      </c>
      <c r="E39" s="74">
        <v>65</v>
      </c>
      <c r="F39" s="120">
        <v>1</v>
      </c>
      <c r="G39" s="53"/>
      <c r="H39" s="49"/>
      <c r="I39" s="48"/>
      <c r="J39" s="290" t="s">
        <v>169</v>
      </c>
      <c r="K39" s="291"/>
      <c r="L39" s="117">
        <f t="shared" si="6"/>
        <v>0</v>
      </c>
      <c r="M39" s="92"/>
      <c r="N39" s="117">
        <f t="shared" si="7"/>
        <v>0</v>
      </c>
      <c r="O39" s="92">
        <f t="shared" si="7"/>
        <v>0</v>
      </c>
      <c r="P39" s="93">
        <f t="shared" si="7"/>
        <v>0</v>
      </c>
      <c r="Q39" s="53"/>
      <c r="R39" s="134"/>
      <c r="S39" s="210" t="str">
        <f t="shared" si="5"/>
        <v>Varios / Venezuela</v>
      </c>
      <c r="T39" s="209">
        <f t="shared" si="4"/>
        <v>65</v>
      </c>
      <c r="U39" s="209">
        <f t="shared" si="4"/>
        <v>1</v>
      </c>
      <c r="V39" s="209" t="s">
        <v>144</v>
      </c>
      <c r="W39" s="14"/>
    </row>
    <row r="40" spans="2:23">
      <c r="B40" s="48"/>
      <c r="C40" s="119" t="s">
        <v>40</v>
      </c>
      <c r="D40" s="74" t="s">
        <v>15</v>
      </c>
      <c r="E40" s="74">
        <v>60</v>
      </c>
      <c r="F40" s="120">
        <v>1</v>
      </c>
      <c r="G40" s="53"/>
      <c r="H40" s="49"/>
      <c r="I40" s="48"/>
      <c r="J40" s="290" t="s">
        <v>169</v>
      </c>
      <c r="K40" s="291"/>
      <c r="L40" s="117">
        <f t="shared" si="6"/>
        <v>0</v>
      </c>
      <c r="M40" s="92"/>
      <c r="N40" s="117">
        <f t="shared" si="7"/>
        <v>0</v>
      </c>
      <c r="O40" s="92">
        <f t="shared" si="7"/>
        <v>0</v>
      </c>
      <c r="P40" s="93">
        <f t="shared" si="7"/>
        <v>0</v>
      </c>
      <c r="Q40" s="53"/>
      <c r="R40" s="134"/>
      <c r="S40" s="210" t="str">
        <f t="shared" si="5"/>
        <v>Comida / Venezuela</v>
      </c>
      <c r="T40" s="209">
        <f t="shared" si="4"/>
        <v>60</v>
      </c>
      <c r="U40" s="209">
        <f t="shared" si="4"/>
        <v>1</v>
      </c>
      <c r="V40" s="209" t="s">
        <v>42</v>
      </c>
      <c r="W40" s="14"/>
    </row>
    <row r="41" spans="2:23" ht="13.5" thickBot="1">
      <c r="B41" s="48"/>
      <c r="C41" s="119" t="s">
        <v>145</v>
      </c>
      <c r="D41" s="74" t="s">
        <v>15</v>
      </c>
      <c r="E41" s="74">
        <v>45</v>
      </c>
      <c r="F41" s="76">
        <v>2</v>
      </c>
      <c r="G41" s="53"/>
      <c r="H41" s="49"/>
      <c r="I41" s="48"/>
      <c r="J41" s="293" t="s">
        <v>169</v>
      </c>
      <c r="K41" s="291"/>
      <c r="L41" s="117">
        <f t="shared" si="6"/>
        <v>0</v>
      </c>
      <c r="M41" s="121"/>
      <c r="N41" s="122">
        <f t="shared" si="7"/>
        <v>0</v>
      </c>
      <c r="O41" s="94">
        <f t="shared" si="7"/>
        <v>0</v>
      </c>
      <c r="P41" s="95">
        <f t="shared" si="7"/>
        <v>0</v>
      </c>
      <c r="Q41" s="53"/>
      <c r="R41" s="134"/>
      <c r="S41" s="210" t="str">
        <f t="shared" si="5"/>
        <v>Ferrocarril / Venezuela</v>
      </c>
      <c r="T41" s="209">
        <f t="shared" si="4"/>
        <v>45</v>
      </c>
      <c r="U41" s="209">
        <f t="shared" si="4"/>
        <v>2</v>
      </c>
      <c r="V41" s="209" t="s">
        <v>40</v>
      </c>
      <c r="W41" s="14"/>
    </row>
    <row r="42" spans="2:23" ht="14.25" thickTop="1" thickBot="1">
      <c r="B42" s="48"/>
      <c r="C42" s="119" t="s">
        <v>49</v>
      </c>
      <c r="D42" s="74" t="s">
        <v>168</v>
      </c>
      <c r="E42" s="74">
        <v>65</v>
      </c>
      <c r="F42" s="76">
        <v>1</v>
      </c>
      <c r="G42" s="53"/>
      <c r="H42" s="49"/>
      <c r="I42" s="48"/>
      <c r="J42" s="137"/>
      <c r="K42" s="123" t="s">
        <v>162</v>
      </c>
      <c r="L42" s="124">
        <f>SUM(L32:L41)</f>
        <v>395</v>
      </c>
      <c r="M42" s="49"/>
      <c r="N42" s="125">
        <f>SUM(N32:N41)</f>
        <v>0</v>
      </c>
      <c r="O42" s="126">
        <f>SUM(O32:O41)</f>
        <v>0</v>
      </c>
      <c r="P42" s="98">
        <f>SUM(P32:P41)</f>
        <v>0</v>
      </c>
      <c r="Q42" s="53"/>
      <c r="R42" s="134"/>
      <c r="S42" s="210" t="str">
        <f t="shared" si="5"/>
        <v>Industria / Nacional</v>
      </c>
      <c r="T42" s="209">
        <f t="shared" si="4"/>
        <v>65</v>
      </c>
      <c r="U42" s="209">
        <f t="shared" si="4"/>
        <v>1</v>
      </c>
      <c r="V42" s="209" t="s">
        <v>145</v>
      </c>
      <c r="W42" s="14"/>
    </row>
    <row r="43" spans="2:23" ht="13.5" thickTop="1">
      <c r="B43" s="48"/>
      <c r="C43" s="119" t="s">
        <v>40</v>
      </c>
      <c r="D43" s="74" t="s">
        <v>168</v>
      </c>
      <c r="E43" s="74">
        <v>50</v>
      </c>
      <c r="F43" s="76">
        <v>1</v>
      </c>
      <c r="G43" s="53"/>
      <c r="H43" s="49"/>
      <c r="I43" s="48"/>
      <c r="J43" s="49"/>
      <c r="K43" s="49"/>
      <c r="L43" s="49"/>
      <c r="M43" s="49"/>
      <c r="N43" s="49"/>
      <c r="O43" s="49"/>
      <c r="P43" s="49"/>
      <c r="Q43" s="53"/>
      <c r="R43" s="134"/>
      <c r="S43" s="210" t="str">
        <f t="shared" si="5"/>
        <v>Comida / Nacional</v>
      </c>
      <c r="T43" s="209">
        <f t="shared" si="4"/>
        <v>50</v>
      </c>
      <c r="U43" s="209">
        <f t="shared" si="4"/>
        <v>1</v>
      </c>
      <c r="W43" s="14"/>
    </row>
    <row r="44" spans="2:23" ht="13.5" thickBot="1">
      <c r="B44" s="132"/>
      <c r="C44" s="119" t="s">
        <v>42</v>
      </c>
      <c r="D44" s="74" t="s">
        <v>168</v>
      </c>
      <c r="E44" s="74">
        <v>65</v>
      </c>
      <c r="F44" s="76">
        <v>1</v>
      </c>
      <c r="G44" s="133"/>
      <c r="H44" s="49"/>
      <c r="I44" s="59"/>
      <c r="J44" s="60"/>
      <c r="K44" s="60"/>
      <c r="L44" s="60"/>
      <c r="M44" s="60"/>
      <c r="N44" s="60"/>
      <c r="O44" s="60"/>
      <c r="P44" s="60"/>
      <c r="Q44" s="62"/>
      <c r="R44" s="134"/>
      <c r="S44" s="210" t="str">
        <f t="shared" si="5"/>
        <v>Varios / Nacional</v>
      </c>
      <c r="T44" s="209">
        <f t="shared" si="4"/>
        <v>65</v>
      </c>
      <c r="U44" s="209">
        <f t="shared" si="4"/>
        <v>1</v>
      </c>
      <c r="W44" s="14"/>
    </row>
    <row r="45" spans="2:23">
      <c r="B45" s="48"/>
      <c r="C45" s="119" t="s">
        <v>253</v>
      </c>
      <c r="D45" s="74" t="s">
        <v>168</v>
      </c>
      <c r="E45" s="74">
        <v>65</v>
      </c>
      <c r="F45" s="76">
        <v>1</v>
      </c>
      <c r="G45" s="53"/>
      <c r="R45" s="134"/>
      <c r="S45" s="210" t="str">
        <f t="shared" si="5"/>
        <v>Petroleo / Nacional</v>
      </c>
      <c r="T45" s="209">
        <f t="shared" si="4"/>
        <v>65</v>
      </c>
      <c r="U45" s="209">
        <f t="shared" si="4"/>
        <v>1</v>
      </c>
      <c r="W45" s="14"/>
    </row>
    <row r="46" spans="2:23" ht="13.5" thickBot="1">
      <c r="B46" s="48"/>
      <c r="C46" s="119" t="s">
        <v>119</v>
      </c>
      <c r="D46" s="74" t="s">
        <v>168</v>
      </c>
      <c r="E46" s="74">
        <v>50</v>
      </c>
      <c r="F46" s="76">
        <v>1</v>
      </c>
      <c r="G46" s="53"/>
      <c r="R46" s="134"/>
      <c r="S46" s="210" t="str">
        <f t="shared" si="5"/>
        <v>Carbón / Nacional</v>
      </c>
      <c r="T46" s="209">
        <f t="shared" si="4"/>
        <v>50</v>
      </c>
      <c r="U46" s="209">
        <f t="shared" si="4"/>
        <v>1</v>
      </c>
      <c r="W46" s="14"/>
    </row>
    <row r="47" spans="2:23">
      <c r="B47" s="48"/>
      <c r="C47" s="119" t="s">
        <v>44</v>
      </c>
      <c r="D47" s="74" t="s">
        <v>168</v>
      </c>
      <c r="E47" s="74">
        <v>50</v>
      </c>
      <c r="F47" s="76">
        <v>1</v>
      </c>
      <c r="G47" s="53"/>
      <c r="I47" s="44"/>
      <c r="J47" s="45"/>
      <c r="K47" s="45"/>
      <c r="L47" s="45"/>
      <c r="M47" s="45"/>
      <c r="N47" s="45"/>
      <c r="O47" s="45"/>
      <c r="P47" s="45"/>
      <c r="Q47" s="47"/>
      <c r="R47" s="134"/>
      <c r="S47" s="210" t="str">
        <f t="shared" si="5"/>
        <v>Hierro / Nacional</v>
      </c>
      <c r="T47" s="209">
        <f t="shared" si="4"/>
        <v>50</v>
      </c>
      <c r="U47" s="209">
        <f t="shared" si="4"/>
        <v>1</v>
      </c>
      <c r="W47" s="14"/>
    </row>
    <row r="48" spans="2:23">
      <c r="B48" s="48"/>
      <c r="C48" s="119" t="s">
        <v>144</v>
      </c>
      <c r="D48" s="74" t="s">
        <v>168</v>
      </c>
      <c r="E48" s="74">
        <v>85</v>
      </c>
      <c r="F48" s="76">
        <v>1</v>
      </c>
      <c r="G48" s="53"/>
      <c r="I48" s="48"/>
      <c r="J48" s="49"/>
      <c r="K48" s="278" t="s">
        <v>165</v>
      </c>
      <c r="L48" s="278"/>
      <c r="M48" s="278"/>
      <c r="N48" s="278"/>
      <c r="O48" s="278"/>
      <c r="P48" s="49"/>
      <c r="Q48" s="53"/>
      <c r="R48" s="134"/>
      <c r="S48" s="210" t="str">
        <f t="shared" si="5"/>
        <v>Exótico / Nacional</v>
      </c>
      <c r="T48" s="209">
        <f t="shared" si="4"/>
        <v>85</v>
      </c>
      <c r="U48" s="209">
        <f t="shared" si="4"/>
        <v>1</v>
      </c>
      <c r="W48" s="14"/>
    </row>
    <row r="49" spans="2:23" ht="13.5" thickBot="1">
      <c r="B49" s="48"/>
      <c r="C49" s="127" t="s">
        <v>167</v>
      </c>
      <c r="D49" s="80" t="s">
        <v>168</v>
      </c>
      <c r="E49" s="80">
        <v>55</v>
      </c>
      <c r="F49" s="84">
        <v>2</v>
      </c>
      <c r="G49" s="53"/>
      <c r="I49" s="48"/>
      <c r="J49" s="49"/>
      <c r="K49" s="49"/>
      <c r="L49" s="49"/>
      <c r="M49" s="49"/>
      <c r="N49" s="49"/>
      <c r="O49" s="49"/>
      <c r="P49" s="49"/>
      <c r="Q49" s="53"/>
      <c r="R49" s="134"/>
      <c r="S49" s="210" t="str">
        <f t="shared" si="5"/>
        <v>Ferrocaril / Nacional</v>
      </c>
      <c r="T49" s="209">
        <f t="shared" si="4"/>
        <v>55</v>
      </c>
      <c r="U49" s="209">
        <f t="shared" si="4"/>
        <v>2</v>
      </c>
      <c r="W49" s="14"/>
    </row>
    <row r="50" spans="2:23" ht="14.25" thickTop="1" thickBot="1">
      <c r="B50" s="48"/>
      <c r="C50" s="49"/>
      <c r="D50" s="49"/>
      <c r="E50" s="49"/>
      <c r="F50" s="49"/>
      <c r="G50" s="53"/>
      <c r="I50" s="48"/>
      <c r="J50" s="49"/>
      <c r="K50" s="91"/>
      <c r="L50" s="128" t="s">
        <v>164</v>
      </c>
      <c r="M50" s="128" t="s">
        <v>166</v>
      </c>
      <c r="N50" s="129" t="s">
        <v>119</v>
      </c>
      <c r="O50" s="130" t="s">
        <v>44</v>
      </c>
      <c r="P50" s="49"/>
      <c r="Q50" s="53"/>
      <c r="R50" s="134"/>
      <c r="W50" s="134"/>
    </row>
    <row r="51" spans="2:23" ht="14.25" thickTop="1" thickBot="1">
      <c r="B51" s="59"/>
      <c r="C51" s="60"/>
      <c r="D51" s="60"/>
      <c r="E51" s="60"/>
      <c r="F51" s="60"/>
      <c r="G51" s="62"/>
      <c r="I51" s="48"/>
      <c r="J51" s="49"/>
      <c r="K51" s="123" t="s">
        <v>162</v>
      </c>
      <c r="L51" s="97">
        <f>L21+L42</f>
        <v>395</v>
      </c>
      <c r="M51" s="126">
        <f>N21+N42</f>
        <v>0</v>
      </c>
      <c r="N51" s="131">
        <f>O21+O42</f>
        <v>0</v>
      </c>
      <c r="O51" s="98">
        <f>P21+P42</f>
        <v>0</v>
      </c>
      <c r="P51" s="49"/>
      <c r="Q51" s="53"/>
      <c r="R51" s="134"/>
      <c r="W51" s="134"/>
    </row>
    <row r="52" spans="2:23">
      <c r="I52" s="48"/>
      <c r="J52" s="49"/>
      <c r="K52" s="49"/>
      <c r="L52" s="49"/>
      <c r="M52" s="49"/>
      <c r="N52" s="49"/>
      <c r="O52" s="49"/>
      <c r="P52" s="49"/>
      <c r="Q52" s="53"/>
      <c r="R52" s="134"/>
      <c r="W52" s="134"/>
    </row>
    <row r="53" spans="2:23" ht="13.5" thickBot="1">
      <c r="I53" s="59"/>
      <c r="J53" s="60"/>
      <c r="K53" s="60"/>
      <c r="L53" s="60"/>
      <c r="M53" s="60"/>
      <c r="N53" s="60"/>
      <c r="O53" s="60"/>
      <c r="P53" s="60"/>
      <c r="Q53" s="62"/>
      <c r="R53" s="134"/>
      <c r="W53" s="134"/>
    </row>
    <row r="54" spans="2:23">
      <c r="R54" s="134"/>
      <c r="W54" s="134"/>
    </row>
  </sheetData>
  <sheetProtection password="CC15" sheet="1" objects="1" scenarios="1" selectLockedCells="1"/>
  <mergeCells count="31">
    <mergeCell ref="J36:K36"/>
    <mergeCell ref="J32:K32"/>
    <mergeCell ref="J37:K37"/>
    <mergeCell ref="K48:O48"/>
    <mergeCell ref="J38:K38"/>
    <mergeCell ref="J39:K39"/>
    <mergeCell ref="J40:K40"/>
    <mergeCell ref="J41:K41"/>
    <mergeCell ref="J33:K33"/>
    <mergeCell ref="K29:O29"/>
    <mergeCell ref="J31:K31"/>
    <mergeCell ref="J34:K34"/>
    <mergeCell ref="J35:K35"/>
    <mergeCell ref="J17:K17"/>
    <mergeCell ref="J18:K18"/>
    <mergeCell ref="J19:K19"/>
    <mergeCell ref="J20:K20"/>
    <mergeCell ref="J12:K12"/>
    <mergeCell ref="J13:K13"/>
    <mergeCell ref="J14:K14"/>
    <mergeCell ref="J15:K15"/>
    <mergeCell ref="J16:K16"/>
    <mergeCell ref="J9:K9"/>
    <mergeCell ref="J10:K10"/>
    <mergeCell ref="J11:K11"/>
    <mergeCell ref="C3:F3"/>
    <mergeCell ref="K3:O3"/>
    <mergeCell ref="J5:K5"/>
    <mergeCell ref="J6:K6"/>
    <mergeCell ref="J7:K7"/>
    <mergeCell ref="J8:K8"/>
  </mergeCells>
  <phoneticPr fontId="3" type="noConversion"/>
  <dataValidations count="1">
    <dataValidation type="list" allowBlank="1" showInputMessage="1" showErrorMessage="1" sqref="J32:K41 J6:K20">
      <formula1>$S$5:$S$49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G22"/>
  <sheetViews>
    <sheetView showGridLines="0" workbookViewId="0">
      <selection activeCell="D16" sqref="D16"/>
    </sheetView>
  </sheetViews>
  <sheetFormatPr baseColWidth="10" defaultColWidth="2.5703125" defaultRowHeight="12.75"/>
  <cols>
    <col min="1" max="2" width="2.5703125" style="143" customWidth="1"/>
    <col min="3" max="3" width="19.85546875" style="143" bestFit="1" customWidth="1"/>
    <col min="4" max="4" width="15.42578125" style="143" bestFit="1" customWidth="1"/>
    <col min="5" max="5" width="9.140625" style="143" bestFit="1" customWidth="1"/>
    <col min="6" max="6" width="14.5703125" style="143" bestFit="1" customWidth="1"/>
    <col min="7" max="7" width="2.5703125" style="143"/>
    <col min="8" max="54" width="7.7109375" style="143" customWidth="1"/>
    <col min="55" max="16384" width="2.5703125" style="143"/>
  </cols>
  <sheetData>
    <row r="2" spans="2:7" ht="13.5" thickBot="1"/>
    <row r="3" spans="2:7" ht="13.5" thickBot="1">
      <c r="B3" s="162"/>
      <c r="C3" s="163"/>
      <c r="D3" s="163"/>
      <c r="E3" s="163"/>
      <c r="F3" s="163"/>
      <c r="G3" s="164"/>
    </row>
    <row r="4" spans="2:7" ht="13.5" thickTop="1">
      <c r="B4" s="165"/>
      <c r="C4" s="294" t="s">
        <v>180</v>
      </c>
      <c r="D4" s="295"/>
      <c r="E4" s="295"/>
      <c r="F4" s="296"/>
      <c r="G4" s="166"/>
    </row>
    <row r="5" spans="2:7">
      <c r="B5" s="165"/>
      <c r="C5" s="144"/>
      <c r="D5" s="145" t="s">
        <v>174</v>
      </c>
      <c r="E5" s="145" t="s">
        <v>75</v>
      </c>
      <c r="F5" s="146" t="s">
        <v>116</v>
      </c>
      <c r="G5" s="166"/>
    </row>
    <row r="6" spans="2:7">
      <c r="B6" s="165"/>
      <c r="C6" s="147" t="s">
        <v>175</v>
      </c>
      <c r="D6" s="148">
        <v>7</v>
      </c>
      <c r="E6" s="148">
        <f>D6*2500</f>
        <v>17500</v>
      </c>
      <c r="F6" s="149">
        <f>D6*2</f>
        <v>14</v>
      </c>
      <c r="G6" s="166"/>
    </row>
    <row r="7" spans="2:7">
      <c r="B7" s="165"/>
      <c r="C7" s="147" t="s">
        <v>176</v>
      </c>
      <c r="D7" s="148">
        <v>7</v>
      </c>
      <c r="E7" s="148">
        <f>D7*4500</f>
        <v>31500</v>
      </c>
      <c r="F7" s="149">
        <f>D7*4</f>
        <v>28</v>
      </c>
      <c r="G7" s="166"/>
    </row>
    <row r="8" spans="2:7">
      <c r="B8" s="165"/>
      <c r="C8" s="147" t="s">
        <v>178</v>
      </c>
      <c r="D8" s="148">
        <v>0</v>
      </c>
      <c r="E8" s="148">
        <v>0</v>
      </c>
      <c r="F8" s="149">
        <f>D8*15</f>
        <v>0</v>
      </c>
      <c r="G8" s="166"/>
    </row>
    <row r="9" spans="2:7">
      <c r="B9" s="165"/>
      <c r="C9" s="147" t="s">
        <v>179</v>
      </c>
      <c r="D9" s="148">
        <v>12</v>
      </c>
      <c r="E9" s="148">
        <v>0</v>
      </c>
      <c r="F9" s="149">
        <v>0</v>
      </c>
      <c r="G9" s="166"/>
    </row>
    <row r="10" spans="2:7">
      <c r="B10" s="165"/>
      <c r="C10" s="150" t="s">
        <v>177</v>
      </c>
      <c r="D10" s="151">
        <v>22</v>
      </c>
      <c r="E10" s="151">
        <v>0</v>
      </c>
      <c r="F10" s="152">
        <f>D10</f>
        <v>22</v>
      </c>
      <c r="G10" s="166"/>
    </row>
    <row r="11" spans="2:7" ht="13.5" thickBot="1">
      <c r="B11" s="165"/>
      <c r="C11" s="153" t="s">
        <v>1</v>
      </c>
      <c r="D11" s="154">
        <f>SUM(D6:D10)</f>
        <v>48</v>
      </c>
      <c r="E11" s="155">
        <f>SUM(E6:E10)</f>
        <v>49000</v>
      </c>
      <c r="F11" s="156">
        <f>SUM(F6:F10)</f>
        <v>64</v>
      </c>
      <c r="G11" s="166"/>
    </row>
    <row r="12" spans="2:7" ht="13.5" thickTop="1">
      <c r="B12" s="165"/>
      <c r="C12" s="167"/>
      <c r="D12" s="167"/>
      <c r="E12" s="167"/>
      <c r="F12" s="167"/>
      <c r="G12" s="166"/>
    </row>
    <row r="13" spans="2:7" ht="13.5" thickBot="1">
      <c r="B13" s="165"/>
      <c r="C13" s="167"/>
      <c r="D13" s="167"/>
      <c r="E13" s="167"/>
      <c r="F13" s="167"/>
      <c r="G13" s="166"/>
    </row>
    <row r="14" spans="2:7" ht="13.5" thickTop="1">
      <c r="B14" s="165"/>
      <c r="C14" s="294" t="s">
        <v>181</v>
      </c>
      <c r="D14" s="297"/>
      <c r="E14" s="297"/>
      <c r="F14" s="297"/>
      <c r="G14" s="168"/>
    </row>
    <row r="15" spans="2:7">
      <c r="B15" s="165"/>
      <c r="C15" s="144"/>
      <c r="D15" s="145" t="s">
        <v>174</v>
      </c>
      <c r="E15" s="157" t="s">
        <v>44</v>
      </c>
      <c r="F15" s="146" t="s">
        <v>118</v>
      </c>
      <c r="G15" s="166"/>
    </row>
    <row r="16" spans="2:7">
      <c r="B16" s="165"/>
      <c r="C16" s="147" t="s">
        <v>175</v>
      </c>
      <c r="D16" s="160"/>
      <c r="E16" s="158">
        <f>D16</f>
        <v>0</v>
      </c>
      <c r="F16" s="149">
        <f>D16</f>
        <v>0</v>
      </c>
      <c r="G16" s="166"/>
    </row>
    <row r="17" spans="2:7">
      <c r="B17" s="165"/>
      <c r="C17" s="147" t="s">
        <v>176</v>
      </c>
      <c r="D17" s="160"/>
      <c r="E17" s="158">
        <f>1.5*D17</f>
        <v>0</v>
      </c>
      <c r="F17" s="149">
        <f>D17*2</f>
        <v>0</v>
      </c>
      <c r="G17" s="166"/>
    </row>
    <row r="18" spans="2:7">
      <c r="B18" s="165"/>
      <c r="C18" s="147" t="s">
        <v>178</v>
      </c>
      <c r="D18" s="160"/>
      <c r="E18" s="158">
        <f>D18</f>
        <v>0</v>
      </c>
      <c r="F18" s="149">
        <f>D18*5</f>
        <v>0</v>
      </c>
      <c r="G18" s="166"/>
    </row>
    <row r="19" spans="2:7">
      <c r="B19" s="165"/>
      <c r="C19" s="147" t="s">
        <v>179</v>
      </c>
      <c r="D19" s="160"/>
      <c r="E19" s="158">
        <f>D19</f>
        <v>0</v>
      </c>
      <c r="F19" s="149">
        <f>D19*5</f>
        <v>0</v>
      </c>
      <c r="G19" s="166"/>
    </row>
    <row r="20" spans="2:7">
      <c r="B20" s="165"/>
      <c r="C20" s="150" t="s">
        <v>177</v>
      </c>
      <c r="D20" s="161"/>
      <c r="E20" s="159">
        <f>D20*0.25</f>
        <v>0</v>
      </c>
      <c r="F20" s="152">
        <f>D20</f>
        <v>0</v>
      </c>
      <c r="G20" s="166"/>
    </row>
    <row r="21" spans="2:7" ht="13.5" thickBot="1">
      <c r="B21" s="165"/>
      <c r="C21" s="153" t="s">
        <v>1</v>
      </c>
      <c r="D21" s="154">
        <f>SUM(D16:D20)</f>
        <v>0</v>
      </c>
      <c r="E21" s="155">
        <f>SUM(E16:E20)</f>
        <v>0</v>
      </c>
      <c r="F21" s="156">
        <f>SUM(F16:F20)</f>
        <v>0</v>
      </c>
      <c r="G21" s="166"/>
    </row>
    <row r="22" spans="2:7" ht="14.25" thickTop="1" thickBot="1">
      <c r="B22" s="169"/>
      <c r="C22" s="170"/>
      <c r="D22" s="170"/>
      <c r="E22" s="170"/>
      <c r="F22" s="170"/>
      <c r="G22" s="171"/>
    </row>
  </sheetData>
  <sheetProtection password="CC15" sheet="1" objects="1" scenarios="1" selectLockedCells="1"/>
  <mergeCells count="2">
    <mergeCell ref="C4:F4"/>
    <mergeCell ref="C14:F14"/>
  </mergeCells>
  <pageMargins left="0.7" right="0.7" top="0.75" bottom="0.75" header="0.3" footer="0.3"/>
  <pageSetup paperSize="9" orientation="portrait" r:id="rId1"/>
  <ignoredErrors>
    <ignoredError sqref="E1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Z102"/>
  <sheetViews>
    <sheetView showGridLines="0" zoomScaleNormal="100" workbookViewId="0">
      <selection activeCell="C6" sqref="C6:C11"/>
    </sheetView>
  </sheetViews>
  <sheetFormatPr baseColWidth="10" defaultRowHeight="12.75"/>
  <cols>
    <col min="1" max="2" width="3.7109375" style="143" customWidth="1"/>
    <col min="3" max="3" width="18.7109375" style="173" customWidth="1"/>
    <col min="4" max="4" width="2.85546875" style="173" customWidth="1"/>
    <col min="5" max="5" width="18.7109375" style="173" customWidth="1"/>
    <col min="6" max="6" width="2.5703125" style="173" customWidth="1"/>
    <col min="7" max="7" width="9.140625" style="173" bestFit="1" customWidth="1"/>
    <col min="8" max="8" width="11.42578125" style="143"/>
    <col min="9" max="9" width="11.42578125" style="173"/>
    <col min="10" max="10" width="3.7109375" style="143" customWidth="1"/>
    <col min="11" max="11" width="11.42578125" style="143" customWidth="1"/>
    <col min="12" max="12" width="3.7109375" style="143" customWidth="1"/>
    <col min="13" max="13" width="12.7109375" style="143" bestFit="1" customWidth="1"/>
    <col min="14" max="14" width="11.42578125" style="143"/>
    <col min="15" max="15" width="3.7109375" style="143" customWidth="1"/>
    <col min="16" max="17" width="11.42578125" style="143"/>
    <col min="18" max="18" width="14.28515625" style="173" bestFit="1" customWidth="1"/>
    <col min="19" max="19" width="7.7109375" style="173" bestFit="1" customWidth="1"/>
    <col min="20" max="20" width="6.140625" style="173" bestFit="1" customWidth="1"/>
    <col min="21" max="21" width="6" style="173" bestFit="1" customWidth="1"/>
    <col min="22" max="22" width="6.140625" style="173" bestFit="1" customWidth="1"/>
    <col min="23" max="23" width="6.7109375" style="173" bestFit="1" customWidth="1"/>
    <col min="24" max="24" width="10.5703125" style="173" bestFit="1" customWidth="1"/>
    <col min="25" max="25" width="11" style="173" bestFit="1" customWidth="1"/>
    <col min="26" max="26" width="11.42578125" style="173" bestFit="1" customWidth="1"/>
    <col min="27" max="27" width="8" style="173" bestFit="1" customWidth="1"/>
    <col min="28" max="28" width="10.5703125" style="173" bestFit="1" customWidth="1"/>
    <col min="29" max="29" width="8" style="173" bestFit="1" customWidth="1"/>
    <col min="30" max="30" width="8.85546875" style="173" bestFit="1" customWidth="1"/>
    <col min="31" max="31" width="9" style="173" bestFit="1" customWidth="1"/>
    <col min="32" max="32" width="12.28515625" style="173" bestFit="1" customWidth="1"/>
    <col min="33" max="33" width="12.85546875" style="173" bestFit="1" customWidth="1"/>
    <col min="34" max="34" width="8" style="173" bestFit="1" customWidth="1"/>
    <col min="35" max="35" width="14.42578125" style="173" bestFit="1" customWidth="1"/>
    <col min="36" max="36" width="6.5703125" style="173" bestFit="1" customWidth="1"/>
    <col min="37" max="37" width="9.28515625" style="173" bestFit="1" customWidth="1"/>
    <col min="38" max="38" width="14.42578125" style="173" bestFit="1" customWidth="1"/>
    <col min="39" max="39" width="7.140625" style="173" bestFit="1" customWidth="1"/>
    <col min="40" max="40" width="7.28515625" style="173" bestFit="1" customWidth="1"/>
    <col min="41" max="41" width="8.42578125" style="173" bestFit="1" customWidth="1"/>
    <col min="42" max="42" width="12.85546875" style="173" bestFit="1" customWidth="1"/>
    <col min="43" max="43" width="7.28515625" style="173" bestFit="1" customWidth="1"/>
    <col min="44" max="44" width="8" style="173" bestFit="1" customWidth="1"/>
    <col min="45" max="45" width="7.5703125" style="173" bestFit="1" customWidth="1"/>
    <col min="46" max="46" width="6.140625" style="173" bestFit="1" customWidth="1"/>
    <col min="47" max="47" width="6" style="173" bestFit="1" customWidth="1"/>
    <col min="48" max="48" width="9.7109375" style="173" bestFit="1" customWidth="1"/>
    <col min="49" max="49" width="9.5703125" style="173" bestFit="1" customWidth="1"/>
    <col min="50" max="50" width="10" style="173" bestFit="1" customWidth="1"/>
    <col min="51" max="51" width="7.140625" style="173" bestFit="1" customWidth="1"/>
    <col min="52" max="16384" width="11.42578125" style="143"/>
  </cols>
  <sheetData>
    <row r="1" spans="1:51">
      <c r="I1" s="214" t="s">
        <v>131</v>
      </c>
      <c r="J1" s="173"/>
      <c r="K1" s="173"/>
      <c r="L1" s="173"/>
      <c r="M1" s="173"/>
      <c r="N1" s="173"/>
      <c r="O1" s="173"/>
      <c r="P1" s="173"/>
      <c r="Q1" s="173"/>
    </row>
    <row r="2" spans="1:51" ht="14.25" customHeight="1" thickBot="1">
      <c r="I2" s="214" t="s">
        <v>145</v>
      </c>
      <c r="J2" s="173"/>
      <c r="K2" s="173"/>
      <c r="L2" s="173"/>
      <c r="M2" s="173"/>
      <c r="N2" s="173"/>
      <c r="O2" s="173"/>
      <c r="P2" s="173"/>
      <c r="Q2" s="173"/>
    </row>
    <row r="3" spans="1:51" ht="14.25" customHeight="1">
      <c r="B3" s="174"/>
      <c r="C3" s="175"/>
      <c r="D3" s="175"/>
      <c r="E3" s="175"/>
      <c r="F3" s="175"/>
      <c r="G3" s="175"/>
      <c r="H3" s="176"/>
      <c r="I3" s="175"/>
      <c r="J3" s="177"/>
      <c r="K3" s="173"/>
      <c r="L3" s="178"/>
      <c r="M3" s="175"/>
      <c r="N3" s="175"/>
      <c r="O3" s="177"/>
      <c r="P3" s="173"/>
      <c r="Q3" s="173"/>
    </row>
    <row r="4" spans="1:51" ht="14.25" customHeight="1" thickBot="1">
      <c r="B4" s="179"/>
      <c r="C4" s="180"/>
      <c r="D4" s="180"/>
      <c r="E4" s="180"/>
      <c r="F4" s="180"/>
      <c r="G4" s="180"/>
      <c r="H4" s="167"/>
      <c r="I4" s="180"/>
      <c r="J4" s="181"/>
      <c r="K4" s="173"/>
      <c r="L4" s="182"/>
      <c r="M4" s="180"/>
      <c r="N4" s="180"/>
      <c r="O4" s="181"/>
      <c r="P4" s="173"/>
      <c r="Q4" s="173"/>
    </row>
    <row r="5" spans="1:51" ht="14.25" thickTop="1" thickBot="1">
      <c r="B5" s="179"/>
      <c r="C5" s="252" t="s">
        <v>182</v>
      </c>
      <c r="D5" s="253"/>
      <c r="E5" s="253" t="s">
        <v>91</v>
      </c>
      <c r="F5" s="253"/>
      <c r="G5" s="253" t="s">
        <v>183</v>
      </c>
      <c r="H5" s="253" t="s">
        <v>219</v>
      </c>
      <c r="I5" s="254" t="s">
        <v>220</v>
      </c>
      <c r="J5" s="181"/>
      <c r="K5" s="173"/>
      <c r="L5" s="179"/>
      <c r="M5" s="298" t="s">
        <v>222</v>
      </c>
      <c r="N5" s="299"/>
      <c r="O5" s="183"/>
      <c r="P5" s="173"/>
      <c r="Q5" s="173"/>
    </row>
    <row r="6" spans="1:51" ht="13.5" thickTop="1">
      <c r="A6" s="208" t="b">
        <f>OR(C6="",E6="")</f>
        <v>1</v>
      </c>
      <c r="B6" s="179"/>
      <c r="C6" s="199"/>
      <c r="D6" s="184"/>
      <c r="E6" s="202"/>
      <c r="F6" s="184"/>
      <c r="G6" s="202"/>
      <c r="H6" s="185" t="str">
        <f ca="1">IF(A6=TRUE,"",IF(I6="Naval",G6*OFFSET($R$6,MATCH(C6,$R$7:$R$39,0),MATCH(E6,$S$6:$AY$6,0))*0.000014*Importación!$N$2,G6*OFFSET($R$6,MATCH(C6,$R$7:$R$39,0),MATCH(E6,$S$6:$AY$6,0))*0.00004*Importación!$N$2))</f>
        <v/>
      </c>
      <c r="I6" s="205" t="s">
        <v>131</v>
      </c>
      <c r="J6" s="186"/>
      <c r="L6" s="179"/>
      <c r="M6" s="187" t="s">
        <v>221</v>
      </c>
      <c r="N6" s="188" t="s">
        <v>136</v>
      </c>
      <c r="O6" s="186"/>
      <c r="R6" s="215"/>
      <c r="S6" s="215" t="s">
        <v>184</v>
      </c>
      <c r="T6" s="215" t="s">
        <v>185</v>
      </c>
      <c r="U6" s="215" t="s">
        <v>186</v>
      </c>
      <c r="V6" s="215" t="s">
        <v>187</v>
      </c>
      <c r="W6" s="216" t="s">
        <v>188</v>
      </c>
      <c r="X6" s="215" t="s">
        <v>189</v>
      </c>
      <c r="Y6" s="216" t="s">
        <v>190</v>
      </c>
      <c r="Z6" s="216" t="s">
        <v>191</v>
      </c>
      <c r="AA6" s="216" t="s">
        <v>218</v>
      </c>
      <c r="AB6" s="216" t="s">
        <v>192</v>
      </c>
      <c r="AC6" s="216" t="s">
        <v>194</v>
      </c>
      <c r="AD6" s="216" t="s">
        <v>195</v>
      </c>
      <c r="AE6" s="216" t="s">
        <v>196</v>
      </c>
      <c r="AF6" s="216" t="s">
        <v>197</v>
      </c>
      <c r="AG6" s="216" t="s">
        <v>198</v>
      </c>
      <c r="AH6" s="216" t="s">
        <v>199</v>
      </c>
      <c r="AI6" s="215" t="s">
        <v>193</v>
      </c>
      <c r="AJ6" s="216" t="s">
        <v>200</v>
      </c>
      <c r="AK6" s="216" t="s">
        <v>201</v>
      </c>
      <c r="AL6" s="216" t="s">
        <v>202</v>
      </c>
      <c r="AM6" s="216" t="s">
        <v>203</v>
      </c>
      <c r="AN6" s="216" t="s">
        <v>204</v>
      </c>
      <c r="AO6" s="216" t="s">
        <v>205</v>
      </c>
      <c r="AP6" s="216" t="s">
        <v>206</v>
      </c>
      <c r="AQ6" s="216" t="s">
        <v>207</v>
      </c>
      <c r="AR6" s="216" t="s">
        <v>208</v>
      </c>
      <c r="AS6" s="216" t="s">
        <v>209</v>
      </c>
      <c r="AT6" s="216" t="s">
        <v>210</v>
      </c>
      <c r="AU6" s="216" t="s">
        <v>211</v>
      </c>
      <c r="AV6" s="216" t="s">
        <v>212</v>
      </c>
      <c r="AW6" s="216" t="s">
        <v>214</v>
      </c>
      <c r="AX6" s="216" t="s">
        <v>215</v>
      </c>
      <c r="AY6" s="216" t="s">
        <v>216</v>
      </c>
    </row>
    <row r="7" spans="1:51" ht="13.5" thickBot="1">
      <c r="A7" s="208" t="b">
        <f t="shared" ref="A7:A70" si="0">OR(C7="",E7="")</f>
        <v>1</v>
      </c>
      <c r="B7" s="179"/>
      <c r="C7" s="200"/>
      <c r="D7" s="189"/>
      <c r="E7" s="203"/>
      <c r="F7" s="189"/>
      <c r="G7" s="203"/>
      <c r="H7" s="190" t="str">
        <f ca="1">IF(C7="","",IF(I7="Naval",G7*OFFSET($R$6,MATCH(C7,$R$7:$R$39,0),MATCH(E7,$S$6:$AY$6,0))*0.000014*Importación!$N$2,G7*OFFSET($R$6,MATCH(C7,$R$7:$R$39,0),MATCH(E7,$S$6:$AY$6,0))*0.00004*Importación!$N$2))</f>
        <v/>
      </c>
      <c r="I7" s="206" t="s">
        <v>131</v>
      </c>
      <c r="J7" s="186"/>
      <c r="L7" s="179"/>
      <c r="M7" s="191">
        <f>SUM(G6:G101)</f>
        <v>0</v>
      </c>
      <c r="N7" s="192">
        <f ca="1">SUM(H6:H101)</f>
        <v>0</v>
      </c>
      <c r="O7" s="186"/>
      <c r="R7" s="214" t="s">
        <v>184</v>
      </c>
      <c r="S7" s="215" t="s">
        <v>213</v>
      </c>
      <c r="T7" s="215">
        <v>322</v>
      </c>
      <c r="U7" s="215">
        <v>3650</v>
      </c>
      <c r="V7" s="215">
        <v>1069</v>
      </c>
      <c r="W7" s="215" t="s">
        <v>217</v>
      </c>
      <c r="X7" s="215">
        <v>6283</v>
      </c>
      <c r="Y7" s="215">
        <v>6283</v>
      </c>
      <c r="Z7" s="215" t="s">
        <v>217</v>
      </c>
      <c r="AA7" s="215" t="s">
        <v>217</v>
      </c>
      <c r="AB7" s="214">
        <v>20583</v>
      </c>
      <c r="AC7" s="214">
        <v>10652</v>
      </c>
      <c r="AD7" s="214">
        <v>19014</v>
      </c>
      <c r="AE7" s="214">
        <v>5523</v>
      </c>
      <c r="AF7" s="214">
        <v>11641</v>
      </c>
      <c r="AG7" s="214">
        <v>9570</v>
      </c>
      <c r="AH7" s="214">
        <v>8374</v>
      </c>
      <c r="AI7" s="214">
        <v>2583</v>
      </c>
      <c r="AJ7" s="214">
        <v>1877</v>
      </c>
      <c r="AK7" s="214">
        <v>19938</v>
      </c>
      <c r="AL7" s="214">
        <v>11183</v>
      </c>
      <c r="AM7" s="214">
        <v>8950</v>
      </c>
      <c r="AN7" s="214">
        <v>13130</v>
      </c>
      <c r="AO7" s="214">
        <v>15237</v>
      </c>
      <c r="AP7" s="214">
        <v>10652</v>
      </c>
      <c r="AQ7" s="214">
        <v>8759</v>
      </c>
      <c r="AR7" s="214">
        <v>8507</v>
      </c>
      <c r="AS7" s="214">
        <v>15779</v>
      </c>
      <c r="AT7" s="215">
        <v>3650</v>
      </c>
      <c r="AU7" s="214">
        <v>4683</v>
      </c>
      <c r="AV7" s="214">
        <v>19959</v>
      </c>
      <c r="AW7" s="214">
        <v>660</v>
      </c>
      <c r="AX7" s="214">
        <v>2583</v>
      </c>
      <c r="AY7" s="214">
        <v>8178</v>
      </c>
    </row>
    <row r="8" spans="1:51">
      <c r="A8" s="208" t="b">
        <f t="shared" si="0"/>
        <v>1</v>
      </c>
      <c r="B8" s="179"/>
      <c r="C8" s="200"/>
      <c r="D8" s="189"/>
      <c r="E8" s="203"/>
      <c r="F8" s="189"/>
      <c r="G8" s="203"/>
      <c r="H8" s="190" t="str">
        <f ca="1">IF(C8="","",IF(I8="Naval",G8*OFFSET($R$6,MATCH(C8,$R$7:$R$39,0),MATCH(E8,$S$6:$AY$6,0))*0.000014*Importación!$N$2,G8*OFFSET($R$6,MATCH(C8,$R$7:$R$39,0),MATCH(E8,$S$6:$AY$6,0))*0.00004*Importación!$N$2))</f>
        <v/>
      </c>
      <c r="I8" s="206" t="s">
        <v>131</v>
      </c>
      <c r="J8" s="186"/>
      <c r="L8" s="179"/>
      <c r="M8" s="167"/>
      <c r="N8" s="167"/>
      <c r="O8" s="186"/>
      <c r="R8" s="214" t="s">
        <v>185</v>
      </c>
      <c r="S8" s="215">
        <f t="array" ref="S8:S39">TRANSPOSE(T7:AY7)</f>
        <v>322</v>
      </c>
      <c r="T8" s="215" t="s">
        <v>213</v>
      </c>
      <c r="U8" s="215">
        <v>645</v>
      </c>
      <c r="V8" s="215">
        <v>971</v>
      </c>
      <c r="W8" s="215">
        <v>4768</v>
      </c>
      <c r="X8" s="215">
        <v>6283</v>
      </c>
      <c r="Y8" s="215">
        <v>6283</v>
      </c>
      <c r="Z8" s="215" t="s">
        <v>217</v>
      </c>
      <c r="AA8" s="215" t="s">
        <v>217</v>
      </c>
      <c r="AB8" s="214">
        <v>18706</v>
      </c>
      <c r="AC8" s="214">
        <v>8775</v>
      </c>
      <c r="AD8" s="214">
        <v>17137</v>
      </c>
      <c r="AE8" s="214">
        <v>2634</v>
      </c>
      <c r="AF8" s="214">
        <v>11641</v>
      </c>
      <c r="AG8" s="214">
        <v>9570</v>
      </c>
      <c r="AH8" s="214">
        <v>8374</v>
      </c>
      <c r="AI8" s="214">
        <v>2583</v>
      </c>
      <c r="AJ8" s="214">
        <v>1200</v>
      </c>
      <c r="AK8" s="214">
        <v>19938</v>
      </c>
      <c r="AL8" s="214">
        <v>11183</v>
      </c>
      <c r="AM8" s="214">
        <v>8950</v>
      </c>
      <c r="AN8" s="214">
        <v>11253</v>
      </c>
      <c r="AO8" s="214">
        <v>13360</v>
      </c>
      <c r="AP8" s="214">
        <v>8775</v>
      </c>
      <c r="AQ8" s="214">
        <v>6882</v>
      </c>
      <c r="AR8" s="214">
        <v>8507</v>
      </c>
      <c r="AS8" s="214">
        <v>13902</v>
      </c>
      <c r="AT8" s="214">
        <v>750</v>
      </c>
      <c r="AU8" s="214">
        <v>4183</v>
      </c>
      <c r="AV8" s="214">
        <v>18082</v>
      </c>
      <c r="AW8" s="214">
        <v>660</v>
      </c>
      <c r="AX8" s="214">
        <v>2583</v>
      </c>
      <c r="AY8" s="214">
        <v>7695</v>
      </c>
    </row>
    <row r="9" spans="1:51" ht="13.5" thickBot="1">
      <c r="A9" s="208" t="b">
        <f t="shared" si="0"/>
        <v>1</v>
      </c>
      <c r="B9" s="179"/>
      <c r="C9" s="200"/>
      <c r="D9" s="189"/>
      <c r="E9" s="203"/>
      <c r="F9" s="189"/>
      <c r="G9" s="203"/>
      <c r="H9" s="190" t="str">
        <f ca="1">IF(C9="","",IF(I9="Naval",G9*OFFSET($R$6,MATCH(C9,$R$7:$R$39,0),MATCH(E9,$S$6:$AY$6,0))*0.000014*Importación!$N$2,G9*OFFSET($R$6,MATCH(C9,$R$7:$R$39,0),MATCH(E9,$S$6:$AY$6,0))*0.00004*Importación!$N$2))</f>
        <v/>
      </c>
      <c r="I9" s="206" t="s">
        <v>131</v>
      </c>
      <c r="J9" s="186"/>
      <c r="L9" s="193"/>
      <c r="M9" s="194"/>
      <c r="N9" s="194"/>
      <c r="O9" s="195"/>
      <c r="R9" s="214" t="s">
        <v>186</v>
      </c>
      <c r="S9" s="215">
        <v>3650</v>
      </c>
      <c r="T9" s="215">
        <f t="array" ref="T9:T39">TRANSPOSE(U8:AY8)</f>
        <v>645</v>
      </c>
      <c r="U9" s="215" t="s">
        <v>213</v>
      </c>
      <c r="V9" s="215">
        <v>536</v>
      </c>
      <c r="W9" s="215">
        <v>4599</v>
      </c>
      <c r="X9" s="215">
        <v>6283</v>
      </c>
      <c r="Y9" s="215">
        <v>6283</v>
      </c>
      <c r="Z9" s="215" t="s">
        <v>217</v>
      </c>
      <c r="AA9" s="215" t="s">
        <v>217</v>
      </c>
      <c r="AB9" s="214">
        <v>18475</v>
      </c>
      <c r="AC9" s="214">
        <v>8544</v>
      </c>
      <c r="AD9" s="214">
        <v>16906</v>
      </c>
      <c r="AE9" s="214">
        <v>2403</v>
      </c>
      <c r="AF9" s="214">
        <v>11641</v>
      </c>
      <c r="AG9" s="214">
        <v>9570</v>
      </c>
      <c r="AH9" s="214">
        <v>8374</v>
      </c>
      <c r="AI9" s="214">
        <v>6283</v>
      </c>
      <c r="AJ9" s="214">
        <v>1823</v>
      </c>
      <c r="AK9" s="214">
        <v>19938</v>
      </c>
      <c r="AL9" s="214">
        <v>11183</v>
      </c>
      <c r="AM9" s="214">
        <v>8950</v>
      </c>
      <c r="AN9" s="214">
        <v>11253</v>
      </c>
      <c r="AO9" s="214">
        <v>13360</v>
      </c>
      <c r="AP9" s="214">
        <v>8775</v>
      </c>
      <c r="AQ9" s="214">
        <v>6882</v>
      </c>
      <c r="AR9" s="214">
        <v>8507</v>
      </c>
      <c r="AS9" s="214">
        <v>13902</v>
      </c>
      <c r="AT9" s="214">
        <v>750</v>
      </c>
      <c r="AU9" s="214">
        <v>4683</v>
      </c>
      <c r="AV9" s="214">
        <v>18082</v>
      </c>
      <c r="AW9" s="214">
        <v>866</v>
      </c>
      <c r="AX9" s="214">
        <v>6283</v>
      </c>
      <c r="AY9" s="214">
        <v>8178</v>
      </c>
    </row>
    <row r="10" spans="1:51">
      <c r="A10" s="208" t="b">
        <f t="shared" si="0"/>
        <v>1</v>
      </c>
      <c r="B10" s="179"/>
      <c r="C10" s="200"/>
      <c r="D10" s="189"/>
      <c r="E10" s="203"/>
      <c r="F10" s="189"/>
      <c r="G10" s="203"/>
      <c r="H10" s="190" t="str">
        <f ca="1">IF(C10="","",IF(I10="Naval",G10*OFFSET($R$6,MATCH(C10,$R$7:$R$39,0),MATCH(E10,$S$6:$AY$6,0))*0.000014*Importación!$N$2,G10*OFFSET($R$6,MATCH(C10,$R$7:$R$39,0),MATCH(E10,$S$6:$AY$6,0))*0.00004*Importación!$N$2))</f>
        <v/>
      </c>
      <c r="I10" s="206" t="s">
        <v>131</v>
      </c>
      <c r="J10" s="186"/>
      <c r="R10" s="214" t="s">
        <v>187</v>
      </c>
      <c r="S10" s="214">
        <v>1069</v>
      </c>
      <c r="T10" s="214">
        <v>971</v>
      </c>
      <c r="U10" s="215">
        <f t="array" ref="U10:U39">TRANSPOSE(V9:AY9)</f>
        <v>536</v>
      </c>
      <c r="V10" s="215" t="s">
        <v>213</v>
      </c>
      <c r="W10" s="215">
        <v>4288</v>
      </c>
      <c r="X10" s="214">
        <v>6770</v>
      </c>
      <c r="Y10" s="214">
        <v>6770</v>
      </c>
      <c r="Z10" s="215" t="s">
        <v>217</v>
      </c>
      <c r="AA10" s="215" t="s">
        <v>217</v>
      </c>
      <c r="AB10" s="214">
        <v>18475</v>
      </c>
      <c r="AC10" s="214">
        <v>8544</v>
      </c>
      <c r="AD10" s="214">
        <v>16906</v>
      </c>
      <c r="AE10" s="214">
        <v>2727</v>
      </c>
      <c r="AF10" s="214">
        <v>12128</v>
      </c>
      <c r="AG10" s="214">
        <v>10057</v>
      </c>
      <c r="AH10" s="214">
        <v>8861</v>
      </c>
      <c r="AI10" s="214">
        <v>6770</v>
      </c>
      <c r="AJ10" s="214">
        <v>2310</v>
      </c>
      <c r="AK10" s="214">
        <v>20425</v>
      </c>
      <c r="AL10" s="214">
        <v>11670</v>
      </c>
      <c r="AM10" s="214">
        <v>9437</v>
      </c>
      <c r="AN10" s="214">
        <v>11577</v>
      </c>
      <c r="AO10" s="214">
        <v>13684</v>
      </c>
      <c r="AP10" s="214">
        <v>9099</v>
      </c>
      <c r="AQ10" s="214">
        <v>7206</v>
      </c>
      <c r="AR10" s="214">
        <v>8994</v>
      </c>
      <c r="AS10" s="214">
        <v>14226</v>
      </c>
      <c r="AT10" s="214">
        <v>1658</v>
      </c>
      <c r="AU10" s="214">
        <v>5170</v>
      </c>
      <c r="AV10" s="214">
        <v>18406</v>
      </c>
      <c r="AW10" s="214">
        <v>1190</v>
      </c>
      <c r="AX10" s="214">
        <v>6770</v>
      </c>
      <c r="AY10" s="214">
        <v>8665</v>
      </c>
    </row>
    <row r="11" spans="1:51">
      <c r="A11" s="208" t="b">
        <f t="shared" si="0"/>
        <v>1</v>
      </c>
      <c r="B11" s="179"/>
      <c r="C11" s="200"/>
      <c r="D11" s="189"/>
      <c r="E11" s="203"/>
      <c r="F11" s="189"/>
      <c r="G11" s="203"/>
      <c r="H11" s="190" t="str">
        <f ca="1">IF(C11="","",IF(I11="Naval",G11*OFFSET($R$6,MATCH(C11,$R$7:$R$39,0),MATCH(E11,$S$6:$AY$6,0))*0.000014*Importación!$N$2,G11*OFFSET($R$6,MATCH(C11,$R$7:$R$39,0),MATCH(E11,$S$6:$AY$6,0))*0.00004*Importación!$N$2))</f>
        <v/>
      </c>
      <c r="I11" s="206" t="s">
        <v>131</v>
      </c>
      <c r="J11" s="186"/>
      <c r="L11" s="257"/>
      <c r="M11" s="257"/>
      <c r="N11" s="257"/>
      <c r="O11" s="257"/>
      <c r="P11" s="257"/>
      <c r="R11" s="214" t="s">
        <v>188</v>
      </c>
      <c r="S11" s="214" t="str">
        <v>N/A</v>
      </c>
      <c r="T11" s="214">
        <v>4768</v>
      </c>
      <c r="U11" s="214">
        <v>4599</v>
      </c>
      <c r="V11" s="214">
        <f t="array" ref="V11:V39">TRANSPOSE(W10:AY10)</f>
        <v>4288</v>
      </c>
      <c r="W11" s="215" t="s">
        <v>213</v>
      </c>
      <c r="X11" s="215">
        <v>10882</v>
      </c>
      <c r="Y11" s="215">
        <v>10882</v>
      </c>
      <c r="Z11" s="215" t="s">
        <v>217</v>
      </c>
      <c r="AA11" s="215" t="s">
        <v>217</v>
      </c>
      <c r="AB11" s="214">
        <v>6199</v>
      </c>
      <c r="AC11" s="214">
        <v>9732</v>
      </c>
      <c r="AD11" s="214">
        <v>18094</v>
      </c>
      <c r="AE11" s="214">
        <v>3079</v>
      </c>
      <c r="AF11" s="214">
        <v>16240</v>
      </c>
      <c r="AG11" s="214">
        <v>14169</v>
      </c>
      <c r="AH11" s="214">
        <v>12973</v>
      </c>
      <c r="AI11" s="214">
        <v>628</v>
      </c>
      <c r="AJ11" s="214">
        <v>6422</v>
      </c>
      <c r="AK11" s="214">
        <v>24537</v>
      </c>
      <c r="AL11" s="214">
        <v>14522</v>
      </c>
      <c r="AM11" s="214">
        <v>17470</v>
      </c>
      <c r="AN11" s="214">
        <v>12575</v>
      </c>
      <c r="AO11" s="214">
        <v>14256</v>
      </c>
      <c r="AP11" s="214">
        <v>9732</v>
      </c>
      <c r="AQ11" s="214" t="s">
        <v>217</v>
      </c>
      <c r="AR11" s="214">
        <v>13106</v>
      </c>
      <c r="AS11" s="214">
        <v>14859</v>
      </c>
      <c r="AT11" s="214">
        <v>5349</v>
      </c>
      <c r="AU11" s="214" t="s">
        <v>217</v>
      </c>
      <c r="AV11" s="214" t="s">
        <v>217</v>
      </c>
      <c r="AW11" s="214" t="s">
        <v>217</v>
      </c>
      <c r="AX11" s="214" t="s">
        <v>217</v>
      </c>
      <c r="AY11" s="214" t="s">
        <v>217</v>
      </c>
    </row>
    <row r="12" spans="1:51">
      <c r="A12" s="208" t="b">
        <f t="shared" si="0"/>
        <v>1</v>
      </c>
      <c r="B12" s="179"/>
      <c r="C12" s="200"/>
      <c r="D12" s="189"/>
      <c r="E12" s="203"/>
      <c r="F12" s="189"/>
      <c r="G12" s="203"/>
      <c r="H12" s="190" t="str">
        <f ca="1">IF(C12="","",IF(I12="Naval",G12*OFFSET($R$6,MATCH(C12,$R$7:$R$39,0),MATCH(E12,$S$6:$AY$6,0))*0.000014*Importación!$N$2,G12*OFFSET($R$6,MATCH(C12,$R$7:$R$39,0),MATCH(E12,$S$6:$AY$6,0))*0.00004*Importación!$N$2))</f>
        <v/>
      </c>
      <c r="I12" s="206" t="s">
        <v>131</v>
      </c>
      <c r="J12" s="186"/>
      <c r="L12" s="257"/>
      <c r="M12" s="257"/>
      <c r="N12" s="257"/>
      <c r="O12" s="257"/>
      <c r="P12" s="257"/>
      <c r="R12" s="214" t="s">
        <v>189</v>
      </c>
      <c r="S12" s="214">
        <v>6283</v>
      </c>
      <c r="T12" s="214">
        <v>6283</v>
      </c>
      <c r="U12" s="214">
        <v>6283</v>
      </c>
      <c r="V12" s="214">
        <v>6770</v>
      </c>
      <c r="W12" s="215">
        <f t="array" ref="W12:W39">TRANSPOSE(X11:AY11)</f>
        <v>10882</v>
      </c>
      <c r="X12" s="215" t="s">
        <v>213</v>
      </c>
      <c r="Y12" s="215">
        <v>348</v>
      </c>
      <c r="Z12" s="215">
        <v>2790</v>
      </c>
      <c r="AA12" s="214">
        <v>2895</v>
      </c>
      <c r="AB12" s="215" t="s">
        <v>217</v>
      </c>
      <c r="AC12" s="214">
        <v>14382</v>
      </c>
      <c r="AD12" s="215" t="s">
        <v>217</v>
      </c>
      <c r="AE12" s="214">
        <v>9249</v>
      </c>
      <c r="AF12" s="214">
        <v>10796</v>
      </c>
      <c r="AG12" s="214">
        <v>8725</v>
      </c>
      <c r="AH12" s="214">
        <v>3536</v>
      </c>
      <c r="AI12" s="214">
        <v>8866</v>
      </c>
      <c r="AJ12" s="214">
        <v>5603</v>
      </c>
      <c r="AK12" s="214">
        <v>19093</v>
      </c>
      <c r="AL12" s="214">
        <v>12688</v>
      </c>
      <c r="AM12" s="214">
        <v>10455</v>
      </c>
      <c r="AN12" s="214">
        <v>14635</v>
      </c>
      <c r="AO12" s="215" t="s">
        <v>217</v>
      </c>
      <c r="AP12" s="214">
        <v>14382</v>
      </c>
      <c r="AQ12" s="214">
        <v>12485</v>
      </c>
      <c r="AR12" s="214">
        <v>3536</v>
      </c>
      <c r="AS12" s="215" t="s">
        <v>217</v>
      </c>
      <c r="AT12" s="214">
        <v>7426</v>
      </c>
      <c r="AU12" s="214">
        <v>6188</v>
      </c>
      <c r="AV12" s="215" t="s">
        <v>217</v>
      </c>
      <c r="AW12" s="214">
        <v>6943</v>
      </c>
      <c r="AX12" s="214">
        <v>8866</v>
      </c>
      <c r="AY12" s="214">
        <v>9683</v>
      </c>
    </row>
    <row r="13" spans="1:51">
      <c r="A13" s="208" t="b">
        <f t="shared" si="0"/>
        <v>1</v>
      </c>
      <c r="B13" s="179"/>
      <c r="C13" s="200"/>
      <c r="D13" s="189"/>
      <c r="E13" s="203"/>
      <c r="F13" s="189"/>
      <c r="G13" s="203"/>
      <c r="H13" s="190" t="str">
        <f ca="1">IF(C13="","",IF(I13="Naval",G13*OFFSET($R$6,MATCH(C13,$R$7:$R$39,0),MATCH(E13,$S$6:$AY$6,0))*0.000014*Importación!$N$2,G13*OFFSET($R$6,MATCH(C13,$R$7:$R$39,0),MATCH(E13,$S$6:$AY$6,0))*0.00004*Importación!$N$2))</f>
        <v/>
      </c>
      <c r="I13" s="206" t="s">
        <v>131</v>
      </c>
      <c r="J13" s="186"/>
      <c r="L13" s="257"/>
      <c r="M13" s="257"/>
      <c r="N13" s="257"/>
      <c r="O13" s="257"/>
      <c r="P13" s="257"/>
      <c r="R13" s="214" t="s">
        <v>190</v>
      </c>
      <c r="S13" s="214">
        <v>6283</v>
      </c>
      <c r="T13" s="214">
        <v>6283</v>
      </c>
      <c r="U13" s="214">
        <v>6283</v>
      </c>
      <c r="V13" s="214">
        <v>6770</v>
      </c>
      <c r="W13" s="214">
        <v>10882</v>
      </c>
      <c r="X13" s="215">
        <f t="array" ref="X13:X39">TRANSPOSE(Y12:AY12)</f>
        <v>348</v>
      </c>
      <c r="Y13" s="215" t="s">
        <v>213</v>
      </c>
      <c r="Z13" s="215">
        <v>2669</v>
      </c>
      <c r="AA13" s="215">
        <v>2803</v>
      </c>
      <c r="AB13" s="215" t="s">
        <v>217</v>
      </c>
      <c r="AC13" s="214">
        <v>14382</v>
      </c>
      <c r="AD13" s="215" t="s">
        <v>217</v>
      </c>
      <c r="AE13" s="214">
        <v>9249</v>
      </c>
      <c r="AF13" s="215">
        <v>10570</v>
      </c>
      <c r="AG13" s="215">
        <v>8499</v>
      </c>
      <c r="AH13" s="215">
        <v>3310</v>
      </c>
      <c r="AI13" s="214">
        <v>8866</v>
      </c>
      <c r="AJ13" s="214">
        <v>5603</v>
      </c>
      <c r="AK13" s="215">
        <v>18867</v>
      </c>
      <c r="AL13" s="214">
        <v>12688</v>
      </c>
      <c r="AM13" s="214">
        <v>10455</v>
      </c>
      <c r="AN13" s="214">
        <v>14635</v>
      </c>
      <c r="AO13" s="215" t="s">
        <v>217</v>
      </c>
      <c r="AP13" s="214">
        <v>14382</v>
      </c>
      <c r="AQ13" s="214">
        <v>12485</v>
      </c>
      <c r="AR13" s="215">
        <v>3310</v>
      </c>
      <c r="AS13" s="215" t="s">
        <v>217</v>
      </c>
      <c r="AT13" s="214">
        <v>7426</v>
      </c>
      <c r="AU13" s="214">
        <v>6188</v>
      </c>
      <c r="AV13" s="215" t="s">
        <v>217</v>
      </c>
      <c r="AW13" s="214">
        <v>6943</v>
      </c>
      <c r="AX13" s="214">
        <v>8866</v>
      </c>
      <c r="AY13" s="214">
        <v>9683</v>
      </c>
    </row>
    <row r="14" spans="1:51">
      <c r="A14" s="208" t="b">
        <f t="shared" si="0"/>
        <v>1</v>
      </c>
      <c r="B14" s="179"/>
      <c r="C14" s="200"/>
      <c r="D14" s="189"/>
      <c r="E14" s="203"/>
      <c r="F14" s="189"/>
      <c r="G14" s="203"/>
      <c r="H14" s="190" t="str">
        <f ca="1">IF(C14="","",IF(I14="Naval",G14*OFFSET($R$6,MATCH(C14,$R$7:$R$39,0),MATCH(E14,$S$6:$AY$6,0))*0.000014*Importación!$N$2,G14*OFFSET($R$6,MATCH(C14,$R$7:$R$39,0),MATCH(E14,$S$6:$AY$6,0))*0.00004*Importación!$N$2))</f>
        <v/>
      </c>
      <c r="I14" s="206" t="s">
        <v>131</v>
      </c>
      <c r="J14" s="186"/>
      <c r="L14" s="257"/>
      <c r="M14" s="300"/>
      <c r="N14" s="300"/>
      <c r="O14" s="257"/>
      <c r="P14" s="257"/>
      <c r="R14" s="214" t="s">
        <v>191</v>
      </c>
      <c r="S14" s="214" t="str">
        <v>N/A</v>
      </c>
      <c r="T14" s="214" t="str">
        <v>N/A</v>
      </c>
      <c r="U14" s="214" t="str">
        <v>N/A</v>
      </c>
      <c r="V14" s="214" t="str">
        <v>N/A</v>
      </c>
      <c r="W14" s="214" t="str">
        <v>N/A</v>
      </c>
      <c r="X14" s="214">
        <v>2790</v>
      </c>
      <c r="Y14" s="215">
        <f t="array" ref="Y14:Y39">TRANSPOSE(Z13:AY13)</f>
        <v>2669</v>
      </c>
      <c r="Z14" s="215" t="s">
        <v>213</v>
      </c>
      <c r="AA14" s="214">
        <v>963</v>
      </c>
      <c r="AB14" s="214">
        <v>8485</v>
      </c>
      <c r="AC14" s="215">
        <v>19667</v>
      </c>
      <c r="AD14" s="215">
        <v>10016</v>
      </c>
      <c r="AE14" s="215" t="s">
        <v>217</v>
      </c>
      <c r="AF14" s="215" t="s">
        <v>217</v>
      </c>
      <c r="AG14" s="215" t="s">
        <v>217</v>
      </c>
      <c r="AH14" s="215" t="s">
        <v>217</v>
      </c>
      <c r="AI14" s="215" t="s">
        <v>217</v>
      </c>
      <c r="AJ14" s="215" t="s">
        <v>217</v>
      </c>
      <c r="AK14" s="214">
        <v>7929</v>
      </c>
      <c r="AL14" s="215" t="s">
        <v>217</v>
      </c>
      <c r="AM14" s="215" t="s">
        <v>217</v>
      </c>
      <c r="AN14" s="215" t="s">
        <v>217</v>
      </c>
      <c r="AO14" s="214">
        <v>12643</v>
      </c>
      <c r="AP14" s="215" t="s">
        <v>217</v>
      </c>
      <c r="AQ14" s="215" t="s">
        <v>217</v>
      </c>
      <c r="AR14" s="214">
        <v>5349</v>
      </c>
      <c r="AS14" s="214">
        <v>12643</v>
      </c>
      <c r="AT14" s="215" t="s">
        <v>217</v>
      </c>
      <c r="AU14" s="215" t="s">
        <v>217</v>
      </c>
      <c r="AV14" s="214">
        <v>12920</v>
      </c>
      <c r="AW14" s="215" t="s">
        <v>217</v>
      </c>
      <c r="AX14" s="215" t="s">
        <v>217</v>
      </c>
      <c r="AY14" s="215" t="s">
        <v>217</v>
      </c>
    </row>
    <row r="15" spans="1:51">
      <c r="A15" s="208" t="b">
        <f t="shared" si="0"/>
        <v>1</v>
      </c>
      <c r="B15" s="179"/>
      <c r="C15" s="200"/>
      <c r="D15" s="189"/>
      <c r="E15" s="203"/>
      <c r="F15" s="189"/>
      <c r="G15" s="203"/>
      <c r="H15" s="190" t="str">
        <f ca="1">IF(C15="","",IF(I15="Naval",G15*OFFSET($R$6,MATCH(C15,$R$7:$R$39,0),MATCH(E15,$S$6:$AY$6,0))*0.000014*Importación!$N$2,G15*OFFSET($R$6,MATCH(C15,$R$7:$R$39,0),MATCH(E15,$S$6:$AY$6,0))*0.00004*Importación!$N$2))</f>
        <v/>
      </c>
      <c r="I15" s="206" t="s">
        <v>131</v>
      </c>
      <c r="J15" s="186"/>
      <c r="L15" s="257"/>
      <c r="M15" s="258"/>
      <c r="N15" s="258"/>
      <c r="O15" s="257"/>
      <c r="P15" s="257"/>
      <c r="R15" s="216" t="s">
        <v>218</v>
      </c>
      <c r="S15" s="214" t="str">
        <v>N/A</v>
      </c>
      <c r="T15" s="214" t="str">
        <v>N/A</v>
      </c>
      <c r="U15" s="214" t="str">
        <v>N/A</v>
      </c>
      <c r="V15" s="214" t="str">
        <v>N/A</v>
      </c>
      <c r="W15" s="214" t="str">
        <v>N/A</v>
      </c>
      <c r="X15" s="214">
        <v>2895</v>
      </c>
      <c r="Y15" s="214">
        <v>2803</v>
      </c>
      <c r="Z15" s="214">
        <f t="array" ref="Z15:Z39">TRANSPOSE(AA14:AY14)</f>
        <v>963</v>
      </c>
      <c r="AA15" s="215" t="s">
        <v>213</v>
      </c>
      <c r="AB15" s="214">
        <v>8485</v>
      </c>
      <c r="AC15" s="215">
        <v>19667</v>
      </c>
      <c r="AD15" s="215">
        <v>10016</v>
      </c>
      <c r="AE15" s="215" t="s">
        <v>217</v>
      </c>
      <c r="AF15" s="215" t="s">
        <v>217</v>
      </c>
      <c r="AG15" s="215" t="s">
        <v>217</v>
      </c>
      <c r="AH15" s="215" t="s">
        <v>217</v>
      </c>
      <c r="AI15" s="215" t="s">
        <v>217</v>
      </c>
      <c r="AJ15" s="215" t="s">
        <v>217</v>
      </c>
      <c r="AK15" s="214">
        <v>8892</v>
      </c>
      <c r="AL15" s="215" t="s">
        <v>217</v>
      </c>
      <c r="AM15" s="215" t="s">
        <v>217</v>
      </c>
      <c r="AN15" s="215" t="s">
        <v>217</v>
      </c>
      <c r="AO15" s="214">
        <v>12643</v>
      </c>
      <c r="AP15" s="215" t="s">
        <v>217</v>
      </c>
      <c r="AQ15" s="215" t="s">
        <v>217</v>
      </c>
      <c r="AR15" s="214">
        <v>6312</v>
      </c>
      <c r="AS15" s="214">
        <v>12643</v>
      </c>
      <c r="AT15" s="215" t="s">
        <v>217</v>
      </c>
      <c r="AU15" s="215" t="s">
        <v>217</v>
      </c>
      <c r="AV15" s="214">
        <v>12920</v>
      </c>
      <c r="AW15" s="215" t="s">
        <v>217</v>
      </c>
      <c r="AX15" s="215" t="s">
        <v>217</v>
      </c>
      <c r="AY15" s="215" t="s">
        <v>217</v>
      </c>
    </row>
    <row r="16" spans="1:51">
      <c r="A16" s="208" t="b">
        <f t="shared" si="0"/>
        <v>1</v>
      </c>
      <c r="B16" s="179"/>
      <c r="C16" s="200"/>
      <c r="D16" s="189"/>
      <c r="E16" s="203"/>
      <c r="F16" s="189"/>
      <c r="G16" s="203"/>
      <c r="H16" s="190" t="str">
        <f ca="1">IF(C16="","",IF(I16="Naval",G16*OFFSET($R$6,MATCH(C16,$R$7:$R$39,0),MATCH(E16,$S$6:$AY$6,0))*0.000014*Importación!$N$2,G16*OFFSET($R$6,MATCH(C16,$R$7:$R$39,0),MATCH(E16,$S$6:$AY$6,0))*0.00004*Importación!$N$2))</f>
        <v/>
      </c>
      <c r="I16" s="206" t="s">
        <v>131</v>
      </c>
      <c r="J16" s="186"/>
      <c r="L16" s="257"/>
      <c r="M16" s="259"/>
      <c r="N16" s="259"/>
      <c r="O16" s="257"/>
      <c r="P16" s="257"/>
      <c r="R16" s="214" t="s">
        <v>192</v>
      </c>
      <c r="S16" s="214">
        <v>20583</v>
      </c>
      <c r="T16" s="214">
        <v>18706</v>
      </c>
      <c r="U16" s="214">
        <v>18475</v>
      </c>
      <c r="V16" s="214">
        <v>18475</v>
      </c>
      <c r="W16" s="214">
        <v>6199</v>
      </c>
      <c r="X16" s="214" t="str">
        <v>N/A</v>
      </c>
      <c r="Y16" s="214" t="str">
        <v>N/A</v>
      </c>
      <c r="Z16" s="214">
        <v>8485</v>
      </c>
      <c r="AA16" s="215">
        <f t="array" ref="AA16:AA39">TRANSPOSE(AB15:AY15)</f>
        <v>8485</v>
      </c>
      <c r="AB16" s="215" t="s">
        <v>213</v>
      </c>
      <c r="AC16" s="215">
        <v>11828</v>
      </c>
      <c r="AD16" s="215">
        <v>1569</v>
      </c>
      <c r="AE16" s="215" t="s">
        <v>217</v>
      </c>
      <c r="AF16" s="215" t="s">
        <v>217</v>
      </c>
      <c r="AG16" s="215" t="s">
        <v>217</v>
      </c>
      <c r="AH16" s="215" t="s">
        <v>217</v>
      </c>
      <c r="AI16" s="215" t="s">
        <v>217</v>
      </c>
      <c r="AJ16" s="215" t="s">
        <v>217</v>
      </c>
      <c r="AK16" s="214">
        <v>16801</v>
      </c>
      <c r="AL16" s="215" t="s">
        <v>217</v>
      </c>
      <c r="AM16" s="215" t="s">
        <v>217</v>
      </c>
      <c r="AN16" s="215" t="s">
        <v>217</v>
      </c>
      <c r="AO16" s="214">
        <v>4804</v>
      </c>
      <c r="AP16" s="215">
        <v>11828</v>
      </c>
      <c r="AQ16" s="215" t="s">
        <v>217</v>
      </c>
      <c r="AR16" s="214">
        <v>16801</v>
      </c>
      <c r="AS16" s="214">
        <v>4804</v>
      </c>
      <c r="AT16" s="215" t="s">
        <v>217</v>
      </c>
      <c r="AU16" s="215" t="s">
        <v>217</v>
      </c>
      <c r="AV16" s="214">
        <v>10078</v>
      </c>
      <c r="AW16" s="215" t="s">
        <v>217</v>
      </c>
      <c r="AX16" s="215" t="s">
        <v>217</v>
      </c>
      <c r="AY16" s="215" t="s">
        <v>217</v>
      </c>
    </row>
    <row r="17" spans="1:52">
      <c r="A17" s="208" t="b">
        <f t="shared" si="0"/>
        <v>1</v>
      </c>
      <c r="B17" s="179"/>
      <c r="C17" s="200"/>
      <c r="D17" s="189"/>
      <c r="E17" s="203"/>
      <c r="F17" s="189"/>
      <c r="G17" s="203"/>
      <c r="H17" s="190" t="str">
        <f ca="1">IF(C17="","",IF(I17="Naval",G17*OFFSET($R$6,MATCH(C17,$R$7:$R$39,0),MATCH(E17,$S$6:$AY$6,0))*0.000014*Importación!$N$2,G17*OFFSET($R$6,MATCH(C17,$R$7:$R$39,0),MATCH(E17,$S$6:$AY$6,0))*0.00004*Importación!$N$2))</f>
        <v/>
      </c>
      <c r="I17" s="206" t="s">
        <v>131</v>
      </c>
      <c r="J17" s="186"/>
      <c r="L17" s="257"/>
      <c r="M17" s="258"/>
      <c r="N17" s="258"/>
      <c r="O17" s="257"/>
      <c r="P17" s="257"/>
      <c r="R17" s="214" t="s">
        <v>194</v>
      </c>
      <c r="S17" s="214">
        <v>10652</v>
      </c>
      <c r="T17" s="214">
        <v>8775</v>
      </c>
      <c r="U17" s="214">
        <v>8544</v>
      </c>
      <c r="V17" s="214">
        <v>8544</v>
      </c>
      <c r="W17" s="214">
        <v>9732</v>
      </c>
      <c r="X17" s="214">
        <v>14382</v>
      </c>
      <c r="Y17" s="214">
        <v>14382</v>
      </c>
      <c r="Z17" s="214">
        <v>19667</v>
      </c>
      <c r="AA17" s="215">
        <v>19667</v>
      </c>
      <c r="AB17" s="215">
        <f t="array" ref="AB17:AB39">TRANSPOSE(AC16:AY16)</f>
        <v>11828</v>
      </c>
      <c r="AC17" s="215" t="s">
        <v>213</v>
      </c>
      <c r="AD17" s="215">
        <v>10259</v>
      </c>
      <c r="AE17" s="215">
        <v>6653</v>
      </c>
      <c r="AF17" s="215" t="s">
        <v>217</v>
      </c>
      <c r="AG17" s="215" t="s">
        <v>217</v>
      </c>
      <c r="AH17" s="215" t="s">
        <v>217</v>
      </c>
      <c r="AI17" s="215" t="s">
        <v>217</v>
      </c>
      <c r="AJ17" s="215">
        <v>8779</v>
      </c>
      <c r="AK17" s="215" t="s">
        <v>217</v>
      </c>
      <c r="AL17" s="214">
        <v>8584</v>
      </c>
      <c r="AM17" s="214">
        <v>11532</v>
      </c>
      <c r="AN17" s="214">
        <v>6637</v>
      </c>
      <c r="AO17" s="214">
        <v>7024</v>
      </c>
      <c r="AP17" s="214">
        <v>970</v>
      </c>
      <c r="AQ17" s="214">
        <v>1897</v>
      </c>
      <c r="AR17" s="215" t="s">
        <v>217</v>
      </c>
      <c r="AS17" s="214">
        <v>7024</v>
      </c>
      <c r="AT17" s="214">
        <v>6956</v>
      </c>
      <c r="AU17" s="215" t="s">
        <v>217</v>
      </c>
      <c r="AV17" s="214">
        <v>11200</v>
      </c>
      <c r="AW17" s="215" t="s">
        <v>217</v>
      </c>
      <c r="AX17" s="215" t="s">
        <v>217</v>
      </c>
      <c r="AY17" s="215" t="s">
        <v>217</v>
      </c>
    </row>
    <row r="18" spans="1:52">
      <c r="A18" s="208" t="b">
        <f t="shared" si="0"/>
        <v>1</v>
      </c>
      <c r="B18" s="179"/>
      <c r="C18" s="200"/>
      <c r="D18" s="189"/>
      <c r="E18" s="203"/>
      <c r="F18" s="189"/>
      <c r="G18" s="203"/>
      <c r="H18" s="190" t="str">
        <f ca="1">IF(C18="","",IF(I18="Naval",G18*OFFSET($R$6,MATCH(C18,$R$7:$R$39,0),MATCH(E18,$S$6:$AY$6,0))*0.000014*Importación!$N$2,G18*OFFSET($R$6,MATCH(C18,$R$7:$R$39,0),MATCH(E18,$S$6:$AY$6,0))*0.00004*Importación!$N$2))</f>
        <v/>
      </c>
      <c r="I18" s="206" t="s">
        <v>131</v>
      </c>
      <c r="J18" s="186"/>
      <c r="L18" s="257"/>
      <c r="M18" s="259"/>
      <c r="N18" s="260"/>
      <c r="O18" s="257"/>
      <c r="P18" s="257"/>
      <c r="R18" s="214" t="s">
        <v>195</v>
      </c>
      <c r="S18" s="214">
        <v>19014</v>
      </c>
      <c r="T18" s="214">
        <v>17137</v>
      </c>
      <c r="U18" s="214">
        <v>16906</v>
      </c>
      <c r="V18" s="214">
        <v>16906</v>
      </c>
      <c r="W18" s="214">
        <v>18094</v>
      </c>
      <c r="X18" s="214" t="str">
        <v>N/A</v>
      </c>
      <c r="Y18" s="214" t="str">
        <v>N/A</v>
      </c>
      <c r="Z18" s="214">
        <v>10016</v>
      </c>
      <c r="AA18" s="214">
        <v>10016</v>
      </c>
      <c r="AB18" s="214">
        <v>1569</v>
      </c>
      <c r="AC18" s="215">
        <f t="array" ref="AC18:AC39">TRANSPOSE(AD17:AY17)</f>
        <v>10259</v>
      </c>
      <c r="AD18" s="215" t="s">
        <v>213</v>
      </c>
      <c r="AE18" s="214">
        <v>11779</v>
      </c>
      <c r="AF18" s="215" t="s">
        <v>217</v>
      </c>
      <c r="AG18" s="215" t="s">
        <v>217</v>
      </c>
      <c r="AH18" s="215" t="s">
        <v>217</v>
      </c>
      <c r="AI18" s="215" t="s">
        <v>217</v>
      </c>
      <c r="AJ18" s="214">
        <v>13095</v>
      </c>
      <c r="AK18" s="215" t="s">
        <v>217</v>
      </c>
      <c r="AL18" s="215" t="s">
        <v>217</v>
      </c>
      <c r="AM18" s="215" t="s">
        <v>217</v>
      </c>
      <c r="AN18" s="215" t="s">
        <v>217</v>
      </c>
      <c r="AO18" s="214">
        <v>3235</v>
      </c>
      <c r="AP18" s="215">
        <v>10259</v>
      </c>
      <c r="AQ18" s="215">
        <v>10259</v>
      </c>
      <c r="AR18" s="215" t="s">
        <v>217</v>
      </c>
      <c r="AS18" s="214">
        <v>3235</v>
      </c>
      <c r="AT18" s="214">
        <v>12082</v>
      </c>
      <c r="AU18" s="215" t="s">
        <v>217</v>
      </c>
      <c r="AV18" s="214">
        <v>9101</v>
      </c>
      <c r="AW18" s="215">
        <v>19674</v>
      </c>
      <c r="AX18" s="215" t="s">
        <v>217</v>
      </c>
      <c r="AY18" s="215" t="s">
        <v>217</v>
      </c>
    </row>
    <row r="19" spans="1:52">
      <c r="A19" s="208" t="b">
        <f t="shared" si="0"/>
        <v>1</v>
      </c>
      <c r="B19" s="179"/>
      <c r="C19" s="200"/>
      <c r="D19" s="189"/>
      <c r="E19" s="203"/>
      <c r="F19" s="189"/>
      <c r="G19" s="203"/>
      <c r="H19" s="190" t="str">
        <f ca="1">IF(C19="","",IF(I19="Naval",G19*OFFSET($R$6,MATCH(C19,$R$7:$R$39,0),MATCH(E19,$S$6:$AY$6,0))*0.000014*Importación!$N$2,G19*OFFSET($R$6,MATCH(C19,$R$7:$R$39,0),MATCH(E19,$S$6:$AY$6,0))*0.00004*Importación!$N$2))</f>
        <v/>
      </c>
      <c r="I19" s="206" t="s">
        <v>131</v>
      </c>
      <c r="J19" s="186"/>
      <c r="L19" s="257"/>
      <c r="M19" s="257"/>
      <c r="N19" s="257"/>
      <c r="O19" s="257"/>
      <c r="P19" s="257"/>
      <c r="R19" s="214" t="s">
        <v>196</v>
      </c>
      <c r="S19" s="214">
        <v>5523</v>
      </c>
      <c r="T19" s="214">
        <v>2634</v>
      </c>
      <c r="U19" s="214">
        <v>2403</v>
      </c>
      <c r="V19" s="214">
        <v>2727</v>
      </c>
      <c r="W19" s="214">
        <v>3079</v>
      </c>
      <c r="X19" s="214">
        <v>9249</v>
      </c>
      <c r="Y19" s="214">
        <v>9249</v>
      </c>
      <c r="Z19" s="214" t="str">
        <v>N/A</v>
      </c>
      <c r="AA19" s="214" t="str">
        <v>N/A</v>
      </c>
      <c r="AB19" s="214" t="str">
        <v>N/A</v>
      </c>
      <c r="AC19" s="214">
        <v>6653</v>
      </c>
      <c r="AD19" s="214">
        <f t="array" ref="AD19:AD39">TRANSPOSE(AE18:AY18)</f>
        <v>11779</v>
      </c>
      <c r="AE19" s="215" t="s">
        <v>213</v>
      </c>
      <c r="AF19" s="215">
        <v>13410</v>
      </c>
      <c r="AG19" s="215">
        <v>11339</v>
      </c>
      <c r="AH19" s="215">
        <v>10143</v>
      </c>
      <c r="AI19" s="214">
        <v>8106</v>
      </c>
      <c r="AJ19" s="214">
        <v>3646</v>
      </c>
      <c r="AK19" s="215" t="s">
        <v>217</v>
      </c>
      <c r="AL19" s="214">
        <v>11443</v>
      </c>
      <c r="AM19" s="214">
        <v>10719</v>
      </c>
      <c r="AN19" s="214">
        <v>9496</v>
      </c>
      <c r="AO19" s="214">
        <v>11780</v>
      </c>
      <c r="AP19" s="214">
        <v>6653</v>
      </c>
      <c r="AQ19" s="214">
        <v>4756</v>
      </c>
      <c r="AR19" s="215">
        <v>10143</v>
      </c>
      <c r="AS19" s="214">
        <v>11780</v>
      </c>
      <c r="AT19" s="214">
        <v>1823</v>
      </c>
      <c r="AU19" s="214">
        <v>5229</v>
      </c>
      <c r="AV19" s="214">
        <v>15956</v>
      </c>
      <c r="AW19" s="214">
        <v>6183</v>
      </c>
      <c r="AX19" s="214">
        <v>8106</v>
      </c>
      <c r="AY19" s="214">
        <v>8724</v>
      </c>
    </row>
    <row r="20" spans="1:52">
      <c r="A20" s="208" t="b">
        <f t="shared" si="0"/>
        <v>1</v>
      </c>
      <c r="B20" s="179"/>
      <c r="C20" s="200"/>
      <c r="D20" s="189"/>
      <c r="E20" s="203"/>
      <c r="F20" s="189"/>
      <c r="G20" s="203"/>
      <c r="H20" s="190" t="str">
        <f ca="1">IF(C20="","",IF(I20="Naval",G20*OFFSET($R$6,MATCH(C20,$R$7:$R$39,0),MATCH(E20,$S$6:$AY$6,0))*0.000014*Importación!$N$2,G20*OFFSET($R$6,MATCH(C20,$R$7:$R$39,0),MATCH(E20,$S$6:$AY$6,0))*0.00004*Importación!$N$2))</f>
        <v/>
      </c>
      <c r="I20" s="206" t="s">
        <v>131</v>
      </c>
      <c r="J20" s="186"/>
      <c r="L20" s="257"/>
      <c r="M20" s="257"/>
      <c r="N20" s="257"/>
      <c r="O20" s="257"/>
      <c r="P20" s="257"/>
      <c r="R20" s="214" t="s">
        <v>197</v>
      </c>
      <c r="S20" s="214">
        <v>11641</v>
      </c>
      <c r="T20" s="214">
        <v>11641</v>
      </c>
      <c r="U20" s="214">
        <v>11641</v>
      </c>
      <c r="V20" s="214">
        <v>12128</v>
      </c>
      <c r="W20" s="214">
        <v>16240</v>
      </c>
      <c r="X20" s="214">
        <v>10796</v>
      </c>
      <c r="Y20" s="214">
        <v>10570</v>
      </c>
      <c r="Z20" s="214" t="str">
        <v>N/A</v>
      </c>
      <c r="AA20" s="214" t="str">
        <v>N/A</v>
      </c>
      <c r="AB20" s="214" t="str">
        <v>N/A</v>
      </c>
      <c r="AC20" s="214" t="str">
        <v>N/A</v>
      </c>
      <c r="AD20" s="214" t="str">
        <v>N/A</v>
      </c>
      <c r="AE20" s="215">
        <f t="array" ref="AE20:AE39">TRANSPOSE(AF19:AY19)</f>
        <v>13410</v>
      </c>
      <c r="AF20" s="215" t="s">
        <v>213</v>
      </c>
      <c r="AG20" s="215">
        <v>2071</v>
      </c>
      <c r="AH20" s="215">
        <v>9187</v>
      </c>
      <c r="AI20" s="214">
        <v>14224</v>
      </c>
      <c r="AJ20" s="214">
        <v>9764</v>
      </c>
      <c r="AK20" s="214">
        <v>8297</v>
      </c>
      <c r="AL20" s="214">
        <v>6751</v>
      </c>
      <c r="AM20" s="214">
        <v>7634</v>
      </c>
      <c r="AN20" s="214">
        <v>8698</v>
      </c>
      <c r="AO20" s="215" t="s">
        <v>217</v>
      </c>
      <c r="AP20" s="215" t="s">
        <v>217</v>
      </c>
      <c r="AQ20" s="215" t="s">
        <v>217</v>
      </c>
      <c r="AR20" s="214">
        <v>10539</v>
      </c>
      <c r="AS20" s="215" t="s">
        <v>217</v>
      </c>
      <c r="AT20" s="214">
        <v>11587</v>
      </c>
      <c r="AU20" s="214">
        <v>6958</v>
      </c>
      <c r="AV20" s="214">
        <v>12095</v>
      </c>
      <c r="AW20" s="214">
        <v>12301</v>
      </c>
      <c r="AX20" s="214">
        <v>14224</v>
      </c>
      <c r="AY20" s="214">
        <v>7980</v>
      </c>
    </row>
    <row r="21" spans="1:52">
      <c r="A21" s="208" t="b">
        <f t="shared" si="0"/>
        <v>1</v>
      </c>
      <c r="B21" s="179"/>
      <c r="C21" s="200"/>
      <c r="D21" s="189"/>
      <c r="E21" s="203"/>
      <c r="F21" s="189"/>
      <c r="G21" s="203"/>
      <c r="H21" s="190" t="str">
        <f ca="1">IF(C21="","",IF(I21="Naval",G21*OFFSET($R$6,MATCH(C21,$R$7:$R$39,0),MATCH(E21,$S$6:$AY$6,0))*0.000014*Importación!$N$2,G21*OFFSET($R$6,MATCH(C21,$R$7:$R$39,0),MATCH(E21,$S$6:$AY$6,0))*0.00004*Importación!$N$2))</f>
        <v/>
      </c>
      <c r="I21" s="206" t="s">
        <v>131</v>
      </c>
      <c r="J21" s="186"/>
      <c r="L21" s="257"/>
      <c r="M21" s="257"/>
      <c r="N21" s="257"/>
      <c r="O21" s="257"/>
      <c r="P21" s="257"/>
      <c r="R21" s="214" t="s">
        <v>198</v>
      </c>
      <c r="S21" s="214">
        <v>9570</v>
      </c>
      <c r="T21" s="214">
        <v>9570</v>
      </c>
      <c r="U21" s="214">
        <v>9570</v>
      </c>
      <c r="V21" s="214">
        <v>10057</v>
      </c>
      <c r="W21" s="214">
        <v>14169</v>
      </c>
      <c r="X21" s="214">
        <v>8725</v>
      </c>
      <c r="Y21" s="214">
        <v>8499</v>
      </c>
      <c r="Z21" s="214" t="str">
        <v>N/A</v>
      </c>
      <c r="AA21" s="214" t="str">
        <v>N/A</v>
      </c>
      <c r="AB21" s="214" t="str">
        <v>N/A</v>
      </c>
      <c r="AC21" s="214" t="str">
        <v>N/A</v>
      </c>
      <c r="AD21" s="214" t="str">
        <v>N/A</v>
      </c>
      <c r="AE21" s="215">
        <v>11339</v>
      </c>
      <c r="AF21" s="215">
        <f t="array" ref="AF21:AF39">TRANSPOSE(AG20:AY20)</f>
        <v>2071</v>
      </c>
      <c r="AG21" s="215" t="s">
        <v>213</v>
      </c>
      <c r="AH21" s="215">
        <v>7116</v>
      </c>
      <c r="AI21" s="214">
        <v>12153</v>
      </c>
      <c r="AJ21" s="214">
        <v>7693</v>
      </c>
      <c r="AK21" s="214">
        <v>10368</v>
      </c>
      <c r="AL21" s="214">
        <v>6082</v>
      </c>
      <c r="AM21" s="214">
        <v>6175</v>
      </c>
      <c r="AN21" s="214">
        <v>8029</v>
      </c>
      <c r="AO21" s="215" t="s">
        <v>217</v>
      </c>
      <c r="AP21" s="215" t="s">
        <v>217</v>
      </c>
      <c r="AQ21" s="215" t="s">
        <v>217</v>
      </c>
      <c r="AR21" s="214">
        <v>8468</v>
      </c>
      <c r="AS21" s="215" t="s">
        <v>217</v>
      </c>
      <c r="AT21" s="214">
        <v>9516</v>
      </c>
      <c r="AU21" s="214">
        <v>4887</v>
      </c>
      <c r="AV21" s="214">
        <v>15066</v>
      </c>
      <c r="AW21" s="214">
        <v>10230</v>
      </c>
      <c r="AX21" s="214">
        <v>12153</v>
      </c>
      <c r="AY21" s="214">
        <v>6386</v>
      </c>
    </row>
    <row r="22" spans="1:52">
      <c r="A22" s="208" t="b">
        <f t="shared" si="0"/>
        <v>1</v>
      </c>
      <c r="B22" s="179"/>
      <c r="C22" s="200"/>
      <c r="D22" s="189"/>
      <c r="E22" s="203"/>
      <c r="F22" s="189"/>
      <c r="G22" s="203"/>
      <c r="H22" s="190" t="str">
        <f ca="1">IF(C22="","",IF(I22="Naval",G22*OFFSET($R$6,MATCH(C22,$R$7:$R$39,0),MATCH(E22,$S$6:$AY$6,0))*0.000014*Importación!$N$2,G22*OFFSET($R$6,MATCH(C22,$R$7:$R$39,0),MATCH(E22,$S$6:$AY$6,0))*0.00004*Importación!$N$2))</f>
        <v/>
      </c>
      <c r="I22" s="206" t="s">
        <v>131</v>
      </c>
      <c r="J22" s="186"/>
      <c r="R22" s="214" t="s">
        <v>199</v>
      </c>
      <c r="S22" s="214">
        <v>8374</v>
      </c>
      <c r="T22" s="214">
        <v>8374</v>
      </c>
      <c r="U22" s="214">
        <v>8374</v>
      </c>
      <c r="V22" s="214">
        <v>8861</v>
      </c>
      <c r="W22" s="214">
        <v>12973</v>
      </c>
      <c r="X22" s="214">
        <v>3536</v>
      </c>
      <c r="Y22" s="214">
        <v>3310</v>
      </c>
      <c r="Z22" s="214" t="str">
        <v>N/A</v>
      </c>
      <c r="AA22" s="214" t="str">
        <v>N/A</v>
      </c>
      <c r="AB22" s="214" t="str">
        <v>N/A</v>
      </c>
      <c r="AC22" s="214" t="str">
        <v>N/A</v>
      </c>
      <c r="AD22" s="214" t="str">
        <v>N/A</v>
      </c>
      <c r="AE22" s="214">
        <v>10143</v>
      </c>
      <c r="AF22" s="214">
        <v>9187</v>
      </c>
      <c r="AG22" s="215">
        <f t="array" ref="AG22:AG39">TRANSPOSE(AH21:AY21)</f>
        <v>7116</v>
      </c>
      <c r="AH22" s="215" t="s">
        <v>213</v>
      </c>
      <c r="AI22" s="214">
        <v>10957</v>
      </c>
      <c r="AJ22" s="214">
        <v>6497</v>
      </c>
      <c r="AK22" s="215" t="s">
        <v>217</v>
      </c>
      <c r="AL22" s="215" t="s">
        <v>217</v>
      </c>
      <c r="AM22" s="215" t="s">
        <v>217</v>
      </c>
      <c r="AN22" s="215" t="s">
        <v>217</v>
      </c>
      <c r="AO22" s="215" t="s">
        <v>217</v>
      </c>
      <c r="AP22" s="215" t="s">
        <v>217</v>
      </c>
      <c r="AQ22" s="215" t="s">
        <v>217</v>
      </c>
      <c r="AR22" s="214">
        <v>1352</v>
      </c>
      <c r="AS22" s="215" t="s">
        <v>217</v>
      </c>
      <c r="AT22" s="214">
        <v>8320</v>
      </c>
      <c r="AU22" s="214">
        <v>5805</v>
      </c>
      <c r="AV22" s="215" t="s">
        <v>217</v>
      </c>
      <c r="AW22" s="214">
        <v>9034</v>
      </c>
      <c r="AX22" s="214">
        <v>10957</v>
      </c>
      <c r="AY22" s="214">
        <v>9300</v>
      </c>
    </row>
    <row r="23" spans="1:52">
      <c r="A23" s="208" t="b">
        <f t="shared" si="0"/>
        <v>1</v>
      </c>
      <c r="B23" s="179"/>
      <c r="C23" s="200"/>
      <c r="D23" s="189"/>
      <c r="E23" s="203"/>
      <c r="F23" s="189"/>
      <c r="G23" s="203"/>
      <c r="H23" s="190" t="str">
        <f ca="1">IF(C23="","",IF(I23="Naval",G23*OFFSET($R$6,MATCH(C23,$R$7:$R$39,0),MATCH(E23,$S$6:$AY$6,0))*0.000014*Importación!$N$2,G23*OFFSET($R$6,MATCH(C23,$R$7:$R$39,0),MATCH(E23,$S$6:$AY$6,0))*0.00004*Importación!$N$2))</f>
        <v/>
      </c>
      <c r="I23" s="206" t="s">
        <v>131</v>
      </c>
      <c r="J23" s="186"/>
      <c r="R23" s="214" t="s">
        <v>193</v>
      </c>
      <c r="S23" s="214">
        <v>2583</v>
      </c>
      <c r="T23" s="214">
        <v>2583</v>
      </c>
      <c r="U23" s="214">
        <v>6283</v>
      </c>
      <c r="V23" s="214">
        <v>6770</v>
      </c>
      <c r="W23" s="214">
        <v>628</v>
      </c>
      <c r="X23" s="214">
        <v>8866</v>
      </c>
      <c r="Y23" s="214">
        <v>8866</v>
      </c>
      <c r="Z23" s="214" t="str">
        <v>N/A</v>
      </c>
      <c r="AA23" s="214" t="str">
        <v>N/A</v>
      </c>
      <c r="AB23" s="214" t="str">
        <v>N/A</v>
      </c>
      <c r="AC23" s="214" t="str">
        <v>N/A</v>
      </c>
      <c r="AD23" s="214" t="str">
        <v>N/A</v>
      </c>
      <c r="AE23" s="214">
        <v>8106</v>
      </c>
      <c r="AF23" s="214">
        <v>14224</v>
      </c>
      <c r="AG23" s="214">
        <v>12153</v>
      </c>
      <c r="AH23" s="214">
        <f t="array" ref="AH23:AH39">TRANSPOSE(AI22:AY22)</f>
        <v>10957</v>
      </c>
      <c r="AI23" s="215" t="s">
        <v>213</v>
      </c>
      <c r="AJ23" s="215">
        <v>4460</v>
      </c>
      <c r="AK23" s="215" t="s">
        <v>217</v>
      </c>
      <c r="AL23" s="215" t="s">
        <v>217</v>
      </c>
      <c r="AM23" s="215" t="s">
        <v>217</v>
      </c>
      <c r="AN23" s="215" t="s">
        <v>217</v>
      </c>
      <c r="AO23" s="215" t="s">
        <v>217</v>
      </c>
      <c r="AP23" s="215" t="s">
        <v>217</v>
      </c>
      <c r="AQ23" s="215" t="s">
        <v>217</v>
      </c>
      <c r="AR23" s="214">
        <v>12309</v>
      </c>
      <c r="AS23" s="215" t="s">
        <v>217</v>
      </c>
      <c r="AT23" s="214">
        <v>6283</v>
      </c>
      <c r="AU23" s="214">
        <v>7266</v>
      </c>
      <c r="AV23" s="215" t="s">
        <v>217</v>
      </c>
      <c r="AW23" s="214">
        <v>1923</v>
      </c>
      <c r="AX23" s="214">
        <v>1015</v>
      </c>
      <c r="AY23" s="214">
        <v>10761</v>
      </c>
    </row>
    <row r="24" spans="1:52">
      <c r="A24" s="208" t="b">
        <f t="shared" si="0"/>
        <v>1</v>
      </c>
      <c r="B24" s="179"/>
      <c r="C24" s="200"/>
      <c r="D24" s="189"/>
      <c r="E24" s="203"/>
      <c r="F24" s="189"/>
      <c r="G24" s="203"/>
      <c r="H24" s="190" t="str">
        <f ca="1">IF(C24="","",IF(I24="Naval",G24*OFFSET($R$6,MATCH(C24,$R$7:$R$39,0),MATCH(E24,$S$6:$AY$6,0))*0.000014*Importación!$N$2,G24*OFFSET($R$6,MATCH(C24,$R$7:$R$39,0),MATCH(E24,$S$6:$AY$6,0))*0.00004*Importación!$N$2))</f>
        <v/>
      </c>
      <c r="I24" s="206" t="s">
        <v>131</v>
      </c>
      <c r="J24" s="186"/>
      <c r="R24" s="214" t="s">
        <v>200</v>
      </c>
      <c r="S24" s="214">
        <v>1877</v>
      </c>
      <c r="T24" s="214">
        <v>1200</v>
      </c>
      <c r="U24" s="214">
        <v>1823</v>
      </c>
      <c r="V24" s="214">
        <v>2310</v>
      </c>
      <c r="W24" s="214">
        <v>6422</v>
      </c>
      <c r="X24" s="214">
        <v>5603</v>
      </c>
      <c r="Y24" s="214">
        <v>5603</v>
      </c>
      <c r="Z24" s="214" t="str">
        <v>N/A</v>
      </c>
      <c r="AA24" s="214" t="str">
        <v>N/A</v>
      </c>
      <c r="AB24" s="214" t="str">
        <v>N/A</v>
      </c>
      <c r="AC24" s="214">
        <v>8779</v>
      </c>
      <c r="AD24" s="214">
        <v>13095</v>
      </c>
      <c r="AE24" s="214">
        <v>3646</v>
      </c>
      <c r="AF24" s="214">
        <v>9764</v>
      </c>
      <c r="AG24" s="214">
        <v>7693</v>
      </c>
      <c r="AH24" s="214">
        <v>6497</v>
      </c>
      <c r="AI24" s="215">
        <f t="array" ref="AI24:AI39">TRANSPOSE(AJ23:AY23)</f>
        <v>4460</v>
      </c>
      <c r="AJ24" s="215" t="s">
        <v>213</v>
      </c>
      <c r="AK24" s="215" t="s">
        <v>217</v>
      </c>
      <c r="AL24" s="215" t="s">
        <v>217</v>
      </c>
      <c r="AM24" s="215" t="s">
        <v>217</v>
      </c>
      <c r="AN24" s="215" t="s">
        <v>217</v>
      </c>
      <c r="AO24" s="215" t="s">
        <v>217</v>
      </c>
      <c r="AP24" s="215" t="s">
        <v>217</v>
      </c>
      <c r="AQ24" s="215">
        <v>6882</v>
      </c>
      <c r="AR24" s="214">
        <v>7849</v>
      </c>
      <c r="AS24" s="215" t="s">
        <v>217</v>
      </c>
      <c r="AT24" s="214">
        <v>1823</v>
      </c>
      <c r="AU24" s="214">
        <v>2806</v>
      </c>
      <c r="AV24" s="215" t="s">
        <v>217</v>
      </c>
      <c r="AW24" s="214">
        <v>2537</v>
      </c>
      <c r="AX24" s="214">
        <v>4730</v>
      </c>
      <c r="AY24" s="215" t="s">
        <v>217</v>
      </c>
    </row>
    <row r="25" spans="1:52">
      <c r="A25" s="208" t="b">
        <f t="shared" si="0"/>
        <v>1</v>
      </c>
      <c r="B25" s="179"/>
      <c r="C25" s="200"/>
      <c r="D25" s="189"/>
      <c r="E25" s="203"/>
      <c r="F25" s="189"/>
      <c r="G25" s="203"/>
      <c r="H25" s="190" t="str">
        <f ca="1">IF(C25="","",IF(I25="Naval",G25*OFFSET($R$6,MATCH(C25,$R$7:$R$39,0),MATCH(E25,$S$6:$AY$6,0))*0.000014*Importación!$N$2,G25*OFFSET($R$6,MATCH(C25,$R$7:$R$39,0),MATCH(E25,$S$6:$AY$6,0))*0.00004*Importación!$N$2))</f>
        <v/>
      </c>
      <c r="I25" s="206" t="s">
        <v>131</v>
      </c>
      <c r="J25" s="186"/>
      <c r="R25" s="214" t="s">
        <v>201</v>
      </c>
      <c r="S25" s="214">
        <v>19938</v>
      </c>
      <c r="T25" s="214">
        <v>19938</v>
      </c>
      <c r="U25" s="214">
        <v>19938</v>
      </c>
      <c r="V25" s="214">
        <v>20425</v>
      </c>
      <c r="W25" s="214">
        <v>24537</v>
      </c>
      <c r="X25" s="214">
        <v>19093</v>
      </c>
      <c r="Y25" s="214">
        <v>18867</v>
      </c>
      <c r="Z25" s="214">
        <v>7929</v>
      </c>
      <c r="AA25" s="214">
        <v>8892</v>
      </c>
      <c r="AB25" s="214">
        <v>16801</v>
      </c>
      <c r="AC25" s="214" t="str">
        <v>N/A</v>
      </c>
      <c r="AD25" s="214" t="str">
        <v>N/A</v>
      </c>
      <c r="AE25" s="214" t="str">
        <v>N/A</v>
      </c>
      <c r="AF25" s="214">
        <v>8297</v>
      </c>
      <c r="AG25" s="214">
        <v>10368</v>
      </c>
      <c r="AH25" s="214" t="str">
        <v>N/A</v>
      </c>
      <c r="AI25" s="215" t="str">
        <v>N/A</v>
      </c>
      <c r="AJ25" s="215" t="str">
        <f t="array" ref="AJ25:AJ39">TRANSPOSE(AK24:AY24)</f>
        <v>N/A</v>
      </c>
      <c r="AK25" s="215" t="s">
        <v>213</v>
      </c>
      <c r="AL25" s="215" t="s">
        <v>217</v>
      </c>
      <c r="AM25" s="215" t="s">
        <v>217</v>
      </c>
      <c r="AN25" s="215" t="s">
        <v>217</v>
      </c>
      <c r="AO25" s="215">
        <v>16801</v>
      </c>
      <c r="AP25" s="215" t="s">
        <v>217</v>
      </c>
      <c r="AQ25" s="215">
        <v>23825</v>
      </c>
      <c r="AR25" s="214">
        <v>2580</v>
      </c>
      <c r="AS25" s="215">
        <v>16801</v>
      </c>
      <c r="AT25" s="215" t="s">
        <v>217</v>
      </c>
      <c r="AU25" s="215" t="s">
        <v>217</v>
      </c>
      <c r="AV25" s="214">
        <v>11091</v>
      </c>
      <c r="AW25" s="215">
        <v>20598</v>
      </c>
      <c r="AX25" s="215" t="s">
        <v>217</v>
      </c>
      <c r="AY25" s="215" t="s">
        <v>217</v>
      </c>
    </row>
    <row r="26" spans="1:52">
      <c r="A26" s="208" t="b">
        <f t="shared" si="0"/>
        <v>1</v>
      </c>
      <c r="B26" s="179"/>
      <c r="C26" s="200"/>
      <c r="D26" s="189"/>
      <c r="E26" s="203"/>
      <c r="F26" s="189"/>
      <c r="G26" s="203"/>
      <c r="H26" s="190" t="str">
        <f ca="1">IF(C26="","",IF(I26="Naval",G26*OFFSET($R$6,MATCH(C26,$R$7:$R$39,0),MATCH(E26,$S$6:$AY$6,0))*0.000014*Importación!$N$2,G26*OFFSET($R$6,MATCH(C26,$R$7:$R$39,0),MATCH(E26,$S$6:$AY$6,0))*0.00004*Importación!$N$2))</f>
        <v/>
      </c>
      <c r="I26" s="206" t="s">
        <v>131</v>
      </c>
      <c r="J26" s="186"/>
      <c r="R26" s="214" t="s">
        <v>202</v>
      </c>
      <c r="S26" s="214">
        <v>11183</v>
      </c>
      <c r="T26" s="214">
        <v>11183</v>
      </c>
      <c r="U26" s="214">
        <v>11183</v>
      </c>
      <c r="V26" s="214">
        <v>11670</v>
      </c>
      <c r="W26" s="214">
        <v>14522</v>
      </c>
      <c r="X26" s="214">
        <v>12688</v>
      </c>
      <c r="Y26" s="214">
        <v>12688</v>
      </c>
      <c r="Z26" s="214" t="str">
        <v>N/A</v>
      </c>
      <c r="AA26" s="214" t="str">
        <v>N/A</v>
      </c>
      <c r="AB26" s="214" t="str">
        <v>N/A</v>
      </c>
      <c r="AC26" s="214">
        <v>8584</v>
      </c>
      <c r="AD26" s="214" t="str">
        <v>N/A</v>
      </c>
      <c r="AE26" s="214">
        <v>11443</v>
      </c>
      <c r="AF26" s="214">
        <v>6751</v>
      </c>
      <c r="AG26" s="214">
        <v>6082</v>
      </c>
      <c r="AH26" s="214" t="str">
        <v>N/A</v>
      </c>
      <c r="AI26" s="214" t="str">
        <v>N/A</v>
      </c>
      <c r="AJ26" s="214" t="str">
        <v>N/A</v>
      </c>
      <c r="AK26" s="215" t="str">
        <f t="array" ref="AK26:AK39">TRANSPOSE(AL25:AY25)</f>
        <v>N/A</v>
      </c>
      <c r="AL26" s="215" t="s">
        <v>213</v>
      </c>
      <c r="AM26" s="214">
        <v>2948</v>
      </c>
      <c r="AN26" s="214">
        <v>1947</v>
      </c>
      <c r="AO26" s="215" t="s">
        <v>217</v>
      </c>
      <c r="AP26" s="214">
        <v>8584</v>
      </c>
      <c r="AQ26" s="214">
        <v>6687</v>
      </c>
      <c r="AR26" s="214">
        <v>12260</v>
      </c>
      <c r="AS26" s="215" t="s">
        <v>217</v>
      </c>
      <c r="AT26" s="215" t="s">
        <v>217</v>
      </c>
      <c r="AU26" s="215" t="s">
        <v>217</v>
      </c>
      <c r="AV26" s="214">
        <v>10544</v>
      </c>
      <c r="AW26" s="214">
        <v>11843</v>
      </c>
      <c r="AX26" s="215" t="s">
        <v>217</v>
      </c>
      <c r="AY26" s="214">
        <v>4459</v>
      </c>
    </row>
    <row r="27" spans="1:52">
      <c r="A27" s="208" t="b">
        <f t="shared" si="0"/>
        <v>1</v>
      </c>
      <c r="B27" s="179"/>
      <c r="C27" s="200"/>
      <c r="D27" s="189"/>
      <c r="E27" s="203"/>
      <c r="F27" s="189"/>
      <c r="G27" s="203"/>
      <c r="H27" s="190" t="str">
        <f ca="1">IF(C27="","",IF(I27="Naval",G27*OFFSET($R$6,MATCH(C27,$R$7:$R$39,0),MATCH(E27,$S$6:$AY$6,0))*0.000014*Importación!$N$2,G27*OFFSET($R$6,MATCH(C27,$R$7:$R$39,0),MATCH(E27,$S$6:$AY$6,0))*0.00004*Importación!$N$2))</f>
        <v/>
      </c>
      <c r="I27" s="206" t="s">
        <v>131</v>
      </c>
      <c r="J27" s="186"/>
      <c r="R27" s="214" t="s">
        <v>203</v>
      </c>
      <c r="S27" s="214">
        <v>8950</v>
      </c>
      <c r="T27" s="214">
        <v>8950</v>
      </c>
      <c r="U27" s="214">
        <v>8950</v>
      </c>
      <c r="V27" s="214">
        <v>9437</v>
      </c>
      <c r="W27" s="214">
        <v>17470</v>
      </c>
      <c r="X27" s="214">
        <v>10455</v>
      </c>
      <c r="Y27" s="214">
        <v>10455</v>
      </c>
      <c r="Z27" s="214" t="str">
        <v>N/A</v>
      </c>
      <c r="AA27" s="214" t="str">
        <v>N/A</v>
      </c>
      <c r="AB27" s="214" t="str">
        <v>N/A</v>
      </c>
      <c r="AC27" s="214">
        <v>11532</v>
      </c>
      <c r="AD27" s="214" t="str">
        <v>N/A</v>
      </c>
      <c r="AE27" s="214">
        <v>10719</v>
      </c>
      <c r="AF27" s="214">
        <v>7634</v>
      </c>
      <c r="AG27" s="214">
        <v>6175</v>
      </c>
      <c r="AH27" s="214" t="str">
        <v>N/A</v>
      </c>
      <c r="AI27" s="214" t="str">
        <v>N/A</v>
      </c>
      <c r="AJ27" s="214" t="str">
        <v>N/A</v>
      </c>
      <c r="AK27" s="214" t="str">
        <v>N/A</v>
      </c>
      <c r="AL27" s="214">
        <f t="array" ref="AL27:AL39">TRANSPOSE(AM26:AY26)</f>
        <v>2948</v>
      </c>
      <c r="AM27" s="215" t="s">
        <v>213</v>
      </c>
      <c r="AN27" s="215">
        <v>4895</v>
      </c>
      <c r="AO27" s="215" t="s">
        <v>217</v>
      </c>
      <c r="AP27" s="215" t="s">
        <v>217</v>
      </c>
      <c r="AQ27" s="215" t="s">
        <v>217</v>
      </c>
      <c r="AR27" s="215" t="s">
        <v>217</v>
      </c>
      <c r="AS27" s="215" t="s">
        <v>217</v>
      </c>
      <c r="AT27" s="215" t="s">
        <v>217</v>
      </c>
      <c r="AU27" s="215" t="s">
        <v>217</v>
      </c>
      <c r="AV27" s="215" t="s">
        <v>217</v>
      </c>
      <c r="AW27" s="214">
        <v>9610</v>
      </c>
      <c r="AX27" s="215" t="s">
        <v>217</v>
      </c>
      <c r="AY27" s="215" t="s">
        <v>217</v>
      </c>
    </row>
    <row r="28" spans="1:52">
      <c r="A28" s="208" t="b">
        <f t="shared" si="0"/>
        <v>1</v>
      </c>
      <c r="B28" s="179"/>
      <c r="C28" s="200"/>
      <c r="D28" s="189"/>
      <c r="E28" s="203"/>
      <c r="F28" s="189"/>
      <c r="G28" s="203"/>
      <c r="H28" s="190" t="str">
        <f ca="1">IF(C28="","",IF(I28="Naval",G28*OFFSET($R$6,MATCH(C28,$R$7:$R$39,0),MATCH(E28,$S$6:$AY$6,0))*0.000014*Importación!$N$2,G28*OFFSET($R$6,MATCH(C28,$R$7:$R$39,0),MATCH(E28,$S$6:$AY$6,0))*0.00004*Importación!$N$2))</f>
        <v/>
      </c>
      <c r="I28" s="206" t="s">
        <v>131</v>
      </c>
      <c r="J28" s="186"/>
      <c r="R28" s="214" t="s">
        <v>204</v>
      </c>
      <c r="S28" s="214">
        <v>13130</v>
      </c>
      <c r="T28" s="214">
        <v>11253</v>
      </c>
      <c r="U28" s="214">
        <v>11253</v>
      </c>
      <c r="V28" s="214">
        <v>11577</v>
      </c>
      <c r="W28" s="214">
        <v>12575</v>
      </c>
      <c r="X28" s="214">
        <v>14635</v>
      </c>
      <c r="Y28" s="214">
        <v>14635</v>
      </c>
      <c r="Z28" s="214" t="str">
        <v>N/A</v>
      </c>
      <c r="AA28" s="214" t="str">
        <v>N/A</v>
      </c>
      <c r="AB28" s="214" t="str">
        <v>N/A</v>
      </c>
      <c r="AC28" s="214">
        <v>6637</v>
      </c>
      <c r="AD28" s="214" t="str">
        <v>N/A</v>
      </c>
      <c r="AE28" s="214">
        <v>9496</v>
      </c>
      <c r="AF28" s="214">
        <v>8698</v>
      </c>
      <c r="AG28" s="214">
        <v>8029</v>
      </c>
      <c r="AH28" s="214" t="str">
        <v>N/A</v>
      </c>
      <c r="AI28" s="214" t="str">
        <v>N/A</v>
      </c>
      <c r="AJ28" s="214" t="str">
        <v>N/A</v>
      </c>
      <c r="AK28" s="214" t="str">
        <v>N/A</v>
      </c>
      <c r="AL28" s="214">
        <v>1947</v>
      </c>
      <c r="AM28" s="215">
        <f t="array" ref="AM28:AM39">TRANSPOSE(AN27:AY27)</f>
        <v>4895</v>
      </c>
      <c r="AN28" s="215" t="s">
        <v>213</v>
      </c>
      <c r="AO28" s="215" t="s">
        <v>217</v>
      </c>
      <c r="AP28" s="215" t="s">
        <v>217</v>
      </c>
      <c r="AQ28" s="215" t="s">
        <v>217</v>
      </c>
      <c r="AR28" s="215" t="s">
        <v>217</v>
      </c>
      <c r="AS28" s="215" t="s">
        <v>217</v>
      </c>
      <c r="AT28" s="215" t="s">
        <v>217</v>
      </c>
      <c r="AU28" s="215" t="s">
        <v>217</v>
      </c>
      <c r="AV28" s="215" t="s">
        <v>217</v>
      </c>
      <c r="AW28" s="214">
        <v>14159</v>
      </c>
      <c r="AX28" s="215" t="s">
        <v>217</v>
      </c>
      <c r="AY28" s="215" t="s">
        <v>217</v>
      </c>
    </row>
    <row r="29" spans="1:52">
      <c r="A29" s="208" t="b">
        <f t="shared" si="0"/>
        <v>1</v>
      </c>
      <c r="B29" s="179"/>
      <c r="C29" s="200"/>
      <c r="D29" s="189"/>
      <c r="E29" s="203"/>
      <c r="F29" s="189"/>
      <c r="G29" s="203"/>
      <c r="H29" s="190" t="str">
        <f ca="1">IF(C29="","",IF(I29="Naval",G29*OFFSET($R$6,MATCH(C29,$R$7:$R$39,0),MATCH(E29,$S$6:$AY$6,0))*0.000014*Importación!$N$2,G29*OFFSET($R$6,MATCH(C29,$R$7:$R$39,0),MATCH(E29,$S$6:$AY$6,0))*0.00004*Importación!$N$2))</f>
        <v/>
      </c>
      <c r="I29" s="206" t="s">
        <v>131</v>
      </c>
      <c r="J29" s="186"/>
      <c r="R29" s="214" t="s">
        <v>205</v>
      </c>
      <c r="S29" s="214">
        <v>15237</v>
      </c>
      <c r="T29" s="214">
        <v>13360</v>
      </c>
      <c r="U29" s="214">
        <v>13360</v>
      </c>
      <c r="V29" s="214">
        <v>13684</v>
      </c>
      <c r="W29" s="214">
        <v>14256</v>
      </c>
      <c r="X29" s="214" t="str">
        <v>N/A</v>
      </c>
      <c r="Y29" s="214" t="str">
        <v>N/A</v>
      </c>
      <c r="Z29" s="214">
        <v>12643</v>
      </c>
      <c r="AA29" s="214">
        <v>12643</v>
      </c>
      <c r="AB29" s="214">
        <v>4804</v>
      </c>
      <c r="AC29" s="214">
        <v>7024</v>
      </c>
      <c r="AD29" s="214">
        <v>3235</v>
      </c>
      <c r="AE29" s="214">
        <v>11780</v>
      </c>
      <c r="AF29" s="214" t="str">
        <v>N/A</v>
      </c>
      <c r="AG29" s="214" t="str">
        <v>N/A</v>
      </c>
      <c r="AH29" s="214" t="str">
        <v>N/A</v>
      </c>
      <c r="AI29" s="214" t="str">
        <v>N/A</v>
      </c>
      <c r="AJ29" s="214" t="str">
        <v>N/A</v>
      </c>
      <c r="AK29" s="214">
        <v>16801</v>
      </c>
      <c r="AL29" s="214" t="str">
        <v>N/A</v>
      </c>
      <c r="AM29" s="215" t="str">
        <v>N/A</v>
      </c>
      <c r="AN29" s="215" t="str">
        <f t="array" ref="AN29:AN39">TRANSPOSE(AO28:AY28)</f>
        <v>N/A</v>
      </c>
      <c r="AO29" s="215" t="s">
        <v>213</v>
      </c>
      <c r="AP29" s="215">
        <v>7024</v>
      </c>
      <c r="AQ29" s="215">
        <v>7024</v>
      </c>
      <c r="AR29" s="214">
        <v>17992</v>
      </c>
      <c r="AS29" s="214">
        <v>938</v>
      </c>
      <c r="AT29" s="215" t="s">
        <v>217</v>
      </c>
      <c r="AU29" s="215" t="s">
        <v>217</v>
      </c>
      <c r="AV29" s="214">
        <v>8171</v>
      </c>
      <c r="AW29" s="214">
        <v>15897</v>
      </c>
      <c r="AX29" s="215" t="s">
        <v>217</v>
      </c>
      <c r="AY29" s="215" t="s">
        <v>217</v>
      </c>
    </row>
    <row r="30" spans="1:52">
      <c r="A30" s="208" t="b">
        <f t="shared" si="0"/>
        <v>1</v>
      </c>
      <c r="B30" s="179"/>
      <c r="C30" s="200"/>
      <c r="D30" s="189"/>
      <c r="E30" s="203"/>
      <c r="F30" s="189"/>
      <c r="G30" s="203"/>
      <c r="H30" s="190" t="str">
        <f ca="1">IF(C30="","",IF(I30="Naval",G30*OFFSET($R$6,MATCH(C30,$R$7:$R$39,0),MATCH(E30,$S$6:$AY$6,0))*0.000014*Importación!$N$2,G30*OFFSET($R$6,MATCH(C30,$R$7:$R$39,0),MATCH(E30,$S$6:$AY$6,0))*0.00004*Importación!$N$2))</f>
        <v/>
      </c>
      <c r="I30" s="206" t="s">
        <v>131</v>
      </c>
      <c r="J30" s="186"/>
      <c r="R30" s="214" t="s">
        <v>206</v>
      </c>
      <c r="S30" s="214">
        <v>10652</v>
      </c>
      <c r="T30" s="214">
        <v>8775</v>
      </c>
      <c r="U30" s="214">
        <v>8775</v>
      </c>
      <c r="V30" s="214">
        <v>9099</v>
      </c>
      <c r="W30" s="214">
        <v>9732</v>
      </c>
      <c r="X30" s="214">
        <v>14382</v>
      </c>
      <c r="Y30" s="214">
        <v>14382</v>
      </c>
      <c r="Z30" s="214" t="str">
        <v>N/A</v>
      </c>
      <c r="AA30" s="214" t="str">
        <v>N/A</v>
      </c>
      <c r="AB30" s="214">
        <v>11828</v>
      </c>
      <c r="AC30" s="214">
        <v>970</v>
      </c>
      <c r="AD30" s="214">
        <v>10259</v>
      </c>
      <c r="AE30" s="214">
        <v>6653</v>
      </c>
      <c r="AF30" s="214" t="str">
        <v>N/A</v>
      </c>
      <c r="AG30" s="214" t="str">
        <v>N/A</v>
      </c>
      <c r="AH30" s="214" t="str">
        <v>N/A</v>
      </c>
      <c r="AI30" s="214" t="str">
        <v>N/A</v>
      </c>
      <c r="AJ30" s="214" t="str">
        <v>N/A</v>
      </c>
      <c r="AK30" s="214" t="str">
        <v>N/A</v>
      </c>
      <c r="AL30" s="214">
        <v>8584</v>
      </c>
      <c r="AM30" s="214" t="str">
        <v>N/A</v>
      </c>
      <c r="AN30" s="214" t="str">
        <v>N/A</v>
      </c>
      <c r="AO30" s="215">
        <f t="array" ref="AO30:AO39">TRANSPOSE(AP29:AY29)</f>
        <v>7024</v>
      </c>
      <c r="AP30" s="215" t="s">
        <v>213</v>
      </c>
      <c r="AQ30" s="215" t="s">
        <v>217</v>
      </c>
      <c r="AR30" s="215" t="s">
        <v>217</v>
      </c>
      <c r="AS30" s="215" t="s">
        <v>217</v>
      </c>
      <c r="AT30" s="215" t="s">
        <v>217</v>
      </c>
      <c r="AU30" s="215" t="s">
        <v>217</v>
      </c>
      <c r="AV30" s="215" t="s">
        <v>217</v>
      </c>
      <c r="AW30" s="214">
        <v>11312</v>
      </c>
      <c r="AX30" s="215" t="s">
        <v>217</v>
      </c>
      <c r="AY30" s="215" t="s">
        <v>217</v>
      </c>
    </row>
    <row r="31" spans="1:52">
      <c r="A31" s="208" t="b">
        <f t="shared" si="0"/>
        <v>1</v>
      </c>
      <c r="B31" s="179"/>
      <c r="C31" s="200"/>
      <c r="D31" s="189"/>
      <c r="E31" s="203"/>
      <c r="F31" s="189"/>
      <c r="G31" s="203"/>
      <c r="H31" s="190" t="str">
        <f ca="1">IF(C31="","",IF(I31="Naval",G31*OFFSET($R$6,MATCH(C31,$R$7:$R$39,0),MATCH(E31,$S$6:$AY$6,0))*0.000014*Importación!$N$2,G31*OFFSET($R$6,MATCH(C31,$R$7:$R$39,0),MATCH(E31,$S$6:$AY$6,0))*0.00004*Importación!$N$2))</f>
        <v/>
      </c>
      <c r="I31" s="206" t="s">
        <v>131</v>
      </c>
      <c r="J31" s="186"/>
      <c r="R31" s="214" t="s">
        <v>207</v>
      </c>
      <c r="S31" s="214">
        <v>8759</v>
      </c>
      <c r="T31" s="214">
        <v>6882</v>
      </c>
      <c r="U31" s="214">
        <v>6882</v>
      </c>
      <c r="V31" s="214">
        <v>7206</v>
      </c>
      <c r="W31" s="214" t="str">
        <v>N/A</v>
      </c>
      <c r="X31" s="214">
        <v>12485</v>
      </c>
      <c r="Y31" s="214">
        <v>12485</v>
      </c>
      <c r="Z31" s="214" t="str">
        <v>N/A</v>
      </c>
      <c r="AA31" s="214" t="str">
        <v>N/A</v>
      </c>
      <c r="AB31" s="214" t="str">
        <v>N/A</v>
      </c>
      <c r="AC31" s="214">
        <v>1897</v>
      </c>
      <c r="AD31" s="214">
        <v>10259</v>
      </c>
      <c r="AE31" s="214">
        <v>4756</v>
      </c>
      <c r="AF31" s="214" t="str">
        <v>N/A</v>
      </c>
      <c r="AG31" s="214" t="str">
        <v>N/A</v>
      </c>
      <c r="AH31" s="214" t="str">
        <v>N/A</v>
      </c>
      <c r="AI31" s="214" t="str">
        <v>N/A</v>
      </c>
      <c r="AJ31" s="214">
        <v>6882</v>
      </c>
      <c r="AK31" s="214">
        <v>23825</v>
      </c>
      <c r="AL31" s="214">
        <v>6687</v>
      </c>
      <c r="AM31" s="214" t="str">
        <v>N/A</v>
      </c>
      <c r="AN31" s="214" t="str">
        <v>N/A</v>
      </c>
      <c r="AO31" s="214">
        <v>7024</v>
      </c>
      <c r="AP31" s="214" t="str">
        <f t="array" ref="AP31:AP39">TRANSPOSE(AQ30:AY30)</f>
        <v>N/A</v>
      </c>
      <c r="AQ31" s="215" t="s">
        <v>213</v>
      </c>
      <c r="AR31" s="215" t="s">
        <v>217</v>
      </c>
      <c r="AS31" s="215" t="s">
        <v>217</v>
      </c>
      <c r="AT31" s="215" t="s">
        <v>217</v>
      </c>
      <c r="AU31" s="215" t="s">
        <v>217</v>
      </c>
      <c r="AV31" s="215" t="s">
        <v>217</v>
      </c>
      <c r="AW31" s="215">
        <v>9419</v>
      </c>
      <c r="AX31" s="215" t="s">
        <v>217</v>
      </c>
      <c r="AY31" s="215" t="s">
        <v>217</v>
      </c>
    </row>
    <row r="32" spans="1:52">
      <c r="A32" s="208" t="b">
        <f t="shared" si="0"/>
        <v>1</v>
      </c>
      <c r="B32" s="179"/>
      <c r="C32" s="200"/>
      <c r="D32" s="189"/>
      <c r="E32" s="203"/>
      <c r="F32" s="189"/>
      <c r="G32" s="203"/>
      <c r="H32" s="190" t="str">
        <f ca="1">IF(C32="","",IF(I32="Naval",G32*OFFSET($R$6,MATCH(C32,$R$7:$R$39,0),MATCH(E32,$S$6:$AY$6,0))*0.000014*Importación!$N$2,G32*OFFSET($R$6,MATCH(C32,$R$7:$R$39,0),MATCH(E32,$S$6:$AY$6,0))*0.00004*Importación!$N$2))</f>
        <v/>
      </c>
      <c r="I32" s="206" t="s">
        <v>131</v>
      </c>
      <c r="J32" s="186"/>
      <c r="R32" s="214" t="s">
        <v>208</v>
      </c>
      <c r="S32" s="214">
        <v>8507</v>
      </c>
      <c r="T32" s="214">
        <v>8507</v>
      </c>
      <c r="U32" s="214">
        <v>8507</v>
      </c>
      <c r="V32" s="214">
        <v>8994</v>
      </c>
      <c r="W32" s="214">
        <v>13106</v>
      </c>
      <c r="X32" s="214">
        <v>3536</v>
      </c>
      <c r="Y32" s="214">
        <v>3310</v>
      </c>
      <c r="Z32" s="214">
        <v>5349</v>
      </c>
      <c r="AA32" s="214">
        <v>6312</v>
      </c>
      <c r="AB32" s="214">
        <v>16801</v>
      </c>
      <c r="AC32" s="214" t="str">
        <v>N/A</v>
      </c>
      <c r="AD32" s="214" t="str">
        <v>N/A</v>
      </c>
      <c r="AE32" s="214">
        <v>10143</v>
      </c>
      <c r="AF32" s="214">
        <v>10539</v>
      </c>
      <c r="AG32" s="214">
        <v>8468</v>
      </c>
      <c r="AH32" s="214">
        <v>1352</v>
      </c>
      <c r="AI32" s="214">
        <v>12309</v>
      </c>
      <c r="AJ32" s="214">
        <v>7849</v>
      </c>
      <c r="AK32" s="214">
        <v>2580</v>
      </c>
      <c r="AL32" s="214">
        <v>12260</v>
      </c>
      <c r="AM32" s="214" t="str">
        <v>N/A</v>
      </c>
      <c r="AN32" s="214" t="str">
        <v>N/A</v>
      </c>
      <c r="AO32" s="214">
        <v>17992</v>
      </c>
      <c r="AP32" s="214" t="str">
        <v>N/A</v>
      </c>
      <c r="AQ32" s="215" t="str">
        <f t="array" ref="AQ32:AQ39">TRANSPOSE(AR31:AY31)</f>
        <v>N/A</v>
      </c>
      <c r="AR32" s="215" t="s">
        <v>213</v>
      </c>
      <c r="AS32" s="214">
        <v>17992</v>
      </c>
      <c r="AT32" s="215" t="s">
        <v>217</v>
      </c>
      <c r="AU32" s="215" t="s">
        <v>217</v>
      </c>
      <c r="AV32" s="215">
        <v>14823</v>
      </c>
      <c r="AW32" s="215">
        <v>20619</v>
      </c>
      <c r="AX32" s="215" t="s">
        <v>217</v>
      </c>
      <c r="AY32" s="215" t="s">
        <v>217</v>
      </c>
      <c r="AZ32" s="173"/>
    </row>
    <row r="33" spans="1:51">
      <c r="A33" s="208" t="b">
        <f t="shared" si="0"/>
        <v>1</v>
      </c>
      <c r="B33" s="179"/>
      <c r="C33" s="200"/>
      <c r="D33" s="189"/>
      <c r="E33" s="203"/>
      <c r="F33" s="189"/>
      <c r="G33" s="203"/>
      <c r="H33" s="190" t="str">
        <f ca="1">IF(C33="","",IF(I33="Naval",G33*OFFSET($R$6,MATCH(C33,$R$7:$R$39,0),MATCH(E33,$S$6:$AY$6,0))*0.000014*Importación!$N$2,G33*OFFSET($R$6,MATCH(C33,$R$7:$R$39,0),MATCH(E33,$S$6:$AY$6,0))*0.00004*Importación!$N$2))</f>
        <v/>
      </c>
      <c r="I33" s="206" t="s">
        <v>131</v>
      </c>
      <c r="J33" s="186"/>
      <c r="R33" s="214" t="s">
        <v>209</v>
      </c>
      <c r="S33" s="214">
        <v>15779</v>
      </c>
      <c r="T33" s="214">
        <v>13902</v>
      </c>
      <c r="U33" s="214">
        <v>13902</v>
      </c>
      <c r="V33" s="214">
        <v>14226</v>
      </c>
      <c r="W33" s="214">
        <v>14859</v>
      </c>
      <c r="X33" s="214" t="str">
        <v>N/A</v>
      </c>
      <c r="Y33" s="214" t="str">
        <v>N/A</v>
      </c>
      <c r="Z33" s="214">
        <v>12643</v>
      </c>
      <c r="AA33" s="214">
        <v>12643</v>
      </c>
      <c r="AB33" s="214">
        <v>4804</v>
      </c>
      <c r="AC33" s="214">
        <v>7024</v>
      </c>
      <c r="AD33" s="214">
        <v>3235</v>
      </c>
      <c r="AE33" s="214">
        <v>11780</v>
      </c>
      <c r="AF33" s="214" t="str">
        <v>N/A</v>
      </c>
      <c r="AG33" s="214" t="str">
        <v>N/A</v>
      </c>
      <c r="AH33" s="214" t="str">
        <v>N/A</v>
      </c>
      <c r="AI33" s="214" t="str">
        <v>N/A</v>
      </c>
      <c r="AJ33" s="214" t="str">
        <v>N/A</v>
      </c>
      <c r="AK33" s="214">
        <v>16801</v>
      </c>
      <c r="AL33" s="214" t="str">
        <v>N/A</v>
      </c>
      <c r="AM33" s="214" t="str">
        <v>N/A</v>
      </c>
      <c r="AN33" s="214" t="str">
        <v>N/A</v>
      </c>
      <c r="AO33" s="214">
        <v>938</v>
      </c>
      <c r="AP33" s="214" t="str">
        <v>N/A</v>
      </c>
      <c r="AQ33" s="215" t="str">
        <v>N/A</v>
      </c>
      <c r="AR33" s="215">
        <f t="array" ref="AR33:AR39">TRANSPOSE(AS32:AY32)</f>
        <v>17992</v>
      </c>
      <c r="AS33" s="215" t="s">
        <v>213</v>
      </c>
      <c r="AT33" s="215" t="s">
        <v>217</v>
      </c>
      <c r="AU33" s="215" t="s">
        <v>217</v>
      </c>
      <c r="AV33" s="215" t="s">
        <v>217</v>
      </c>
      <c r="AW33" s="215">
        <v>16439</v>
      </c>
      <c r="AX33" s="215" t="s">
        <v>217</v>
      </c>
      <c r="AY33" s="215" t="s">
        <v>217</v>
      </c>
    </row>
    <row r="34" spans="1:51">
      <c r="A34" s="208" t="b">
        <f t="shared" si="0"/>
        <v>1</v>
      </c>
      <c r="B34" s="179"/>
      <c r="C34" s="200"/>
      <c r="D34" s="189"/>
      <c r="E34" s="203"/>
      <c r="F34" s="189"/>
      <c r="G34" s="203"/>
      <c r="H34" s="190" t="str">
        <f ca="1">IF(C34="","",IF(I34="Naval",G34*OFFSET($R$6,MATCH(C34,$R$7:$R$39,0),MATCH(E34,$S$6:$AY$6,0))*0.000014*Importación!$N$2,G34*OFFSET($R$6,MATCH(C34,$R$7:$R$39,0),MATCH(E34,$S$6:$AY$6,0))*0.00004*Importación!$N$2))</f>
        <v/>
      </c>
      <c r="I34" s="206" t="s">
        <v>131</v>
      </c>
      <c r="J34" s="186"/>
      <c r="R34" s="214" t="s">
        <v>210</v>
      </c>
      <c r="S34" s="214">
        <v>3650</v>
      </c>
      <c r="T34" s="214">
        <v>750</v>
      </c>
      <c r="U34" s="214">
        <v>750</v>
      </c>
      <c r="V34" s="214">
        <v>1658</v>
      </c>
      <c r="W34" s="214">
        <v>5349</v>
      </c>
      <c r="X34" s="214">
        <v>7426</v>
      </c>
      <c r="Y34" s="214">
        <v>7426</v>
      </c>
      <c r="Z34" s="214" t="str">
        <v>N/A</v>
      </c>
      <c r="AA34" s="214" t="str">
        <v>N/A</v>
      </c>
      <c r="AB34" s="214" t="str">
        <v>N/A</v>
      </c>
      <c r="AC34" s="214">
        <v>6956</v>
      </c>
      <c r="AD34" s="214">
        <v>12082</v>
      </c>
      <c r="AE34" s="214">
        <v>1823</v>
      </c>
      <c r="AF34" s="214">
        <v>11587</v>
      </c>
      <c r="AG34" s="214">
        <v>9516</v>
      </c>
      <c r="AH34" s="214">
        <v>8320</v>
      </c>
      <c r="AI34" s="214">
        <v>6283</v>
      </c>
      <c r="AJ34" s="214">
        <v>1823</v>
      </c>
      <c r="AK34" s="214" t="str">
        <v>N/A</v>
      </c>
      <c r="AL34" s="214" t="str">
        <v>N/A</v>
      </c>
      <c r="AM34" s="214" t="str">
        <v>N/A</v>
      </c>
      <c r="AN34" s="214" t="str">
        <v>N/A</v>
      </c>
      <c r="AO34" s="214" t="str">
        <v>N/A</v>
      </c>
      <c r="AP34" s="214" t="str">
        <v>N/A</v>
      </c>
      <c r="AQ34" s="214" t="str">
        <v>N/A</v>
      </c>
      <c r="AR34" s="214" t="str">
        <v>N/A</v>
      </c>
      <c r="AS34" s="215" t="str">
        <f t="array" ref="AS34:AS39">TRANSPOSE(AT33:AY33)</f>
        <v>N/A</v>
      </c>
      <c r="AT34" s="215" t="s">
        <v>213</v>
      </c>
      <c r="AU34" s="215" t="s">
        <v>217</v>
      </c>
      <c r="AV34" s="215" t="s">
        <v>217</v>
      </c>
      <c r="AW34" s="214">
        <v>4310</v>
      </c>
      <c r="AX34" s="215" t="s">
        <v>217</v>
      </c>
      <c r="AY34" s="215" t="s">
        <v>217</v>
      </c>
    </row>
    <row r="35" spans="1:51">
      <c r="A35" s="208" t="b">
        <f t="shared" si="0"/>
        <v>1</v>
      </c>
      <c r="B35" s="179"/>
      <c r="C35" s="200"/>
      <c r="D35" s="189"/>
      <c r="E35" s="203"/>
      <c r="F35" s="189"/>
      <c r="G35" s="203"/>
      <c r="H35" s="190" t="str">
        <f ca="1">IF(C35="","",IF(I35="Naval",G35*OFFSET($R$6,MATCH(C35,$R$7:$R$39,0),MATCH(E35,$S$6:$AY$6,0))*0.000014*Importación!$N$2,G35*OFFSET($R$6,MATCH(C35,$R$7:$R$39,0),MATCH(E35,$S$6:$AY$6,0))*0.00004*Importación!$N$2))</f>
        <v/>
      </c>
      <c r="I35" s="206" t="s">
        <v>131</v>
      </c>
      <c r="J35" s="186"/>
      <c r="R35" s="214" t="s">
        <v>211</v>
      </c>
      <c r="S35" s="214">
        <v>4683</v>
      </c>
      <c r="T35" s="214">
        <v>4183</v>
      </c>
      <c r="U35" s="214">
        <v>4683</v>
      </c>
      <c r="V35" s="214">
        <v>5170</v>
      </c>
      <c r="W35" s="214" t="str">
        <v>N/A</v>
      </c>
      <c r="X35" s="214">
        <v>6188</v>
      </c>
      <c r="Y35" s="214">
        <v>6188</v>
      </c>
      <c r="Z35" s="214" t="str">
        <v>N/A</v>
      </c>
      <c r="AA35" s="214" t="str">
        <v>N/A</v>
      </c>
      <c r="AB35" s="214" t="str">
        <v>N/A</v>
      </c>
      <c r="AC35" s="214" t="str">
        <v>N/A</v>
      </c>
      <c r="AD35" s="214" t="str">
        <v>N/A</v>
      </c>
      <c r="AE35" s="214">
        <v>5229</v>
      </c>
      <c r="AF35" s="214">
        <v>6958</v>
      </c>
      <c r="AG35" s="214">
        <v>4887</v>
      </c>
      <c r="AH35" s="214">
        <v>5805</v>
      </c>
      <c r="AI35" s="214">
        <v>7266</v>
      </c>
      <c r="AJ35" s="214">
        <v>2806</v>
      </c>
      <c r="AK35" s="214" t="str">
        <v>N/A</v>
      </c>
      <c r="AL35" s="214" t="str">
        <v>N/A</v>
      </c>
      <c r="AM35" s="214" t="str">
        <v>N/A</v>
      </c>
      <c r="AN35" s="214" t="str">
        <v>N/A</v>
      </c>
      <c r="AO35" s="214" t="str">
        <v>N/A</v>
      </c>
      <c r="AP35" s="214" t="str">
        <v>N/A</v>
      </c>
      <c r="AQ35" s="214" t="str">
        <v>N/A</v>
      </c>
      <c r="AR35" s="214" t="str">
        <v>N/A</v>
      </c>
      <c r="AS35" s="214" t="str">
        <v>N/A</v>
      </c>
      <c r="AT35" s="214" t="str">
        <f t="array" ref="AT35:AT39">TRANSPOSE(AU34:AY34)</f>
        <v>N/A</v>
      </c>
      <c r="AU35" s="215" t="s">
        <v>213</v>
      </c>
      <c r="AV35" s="215" t="s">
        <v>217</v>
      </c>
      <c r="AW35" s="215">
        <v>5343</v>
      </c>
      <c r="AX35" s="215" t="s">
        <v>217</v>
      </c>
      <c r="AY35" s="215" t="s">
        <v>217</v>
      </c>
    </row>
    <row r="36" spans="1:51">
      <c r="A36" s="208" t="b">
        <f t="shared" si="0"/>
        <v>1</v>
      </c>
      <c r="B36" s="179"/>
      <c r="C36" s="200"/>
      <c r="D36" s="189"/>
      <c r="E36" s="203"/>
      <c r="F36" s="189"/>
      <c r="G36" s="203"/>
      <c r="H36" s="190" t="str">
        <f ca="1">IF(C36="","",IF(I36="Naval",G36*OFFSET($R$6,MATCH(C36,$R$7:$R$39,0),MATCH(E36,$S$6:$AY$6,0))*0.000014*Importación!$N$2,G36*OFFSET($R$6,MATCH(C36,$R$7:$R$39,0),MATCH(E36,$S$6:$AY$6,0))*0.00004*Importación!$N$2))</f>
        <v/>
      </c>
      <c r="I36" s="206" t="s">
        <v>131</v>
      </c>
      <c r="J36" s="186"/>
      <c r="R36" s="214" t="s">
        <v>212</v>
      </c>
      <c r="S36" s="214">
        <v>19959</v>
      </c>
      <c r="T36" s="214">
        <v>18082</v>
      </c>
      <c r="U36" s="214">
        <v>18082</v>
      </c>
      <c r="V36" s="214">
        <v>18406</v>
      </c>
      <c r="W36" s="214" t="str">
        <v>N/A</v>
      </c>
      <c r="X36" s="214" t="str">
        <v>N/A</v>
      </c>
      <c r="Y36" s="214" t="str">
        <v>N/A</v>
      </c>
      <c r="Z36" s="214">
        <v>12920</v>
      </c>
      <c r="AA36" s="214">
        <v>12920</v>
      </c>
      <c r="AB36" s="214">
        <v>10078</v>
      </c>
      <c r="AC36" s="214">
        <v>11200</v>
      </c>
      <c r="AD36" s="214">
        <v>9101</v>
      </c>
      <c r="AE36" s="214">
        <v>15956</v>
      </c>
      <c r="AF36" s="214">
        <v>12095</v>
      </c>
      <c r="AG36" s="214">
        <v>15066</v>
      </c>
      <c r="AH36" s="214" t="str">
        <v>N/A</v>
      </c>
      <c r="AI36" s="214" t="str">
        <v>N/A</v>
      </c>
      <c r="AJ36" s="214" t="str">
        <v>N/A</v>
      </c>
      <c r="AK36" s="214">
        <v>11091</v>
      </c>
      <c r="AL36" s="214">
        <v>10544</v>
      </c>
      <c r="AM36" s="214" t="str">
        <v>N/A</v>
      </c>
      <c r="AN36" s="214" t="str">
        <v>N/A</v>
      </c>
      <c r="AO36" s="214">
        <v>8171</v>
      </c>
      <c r="AP36" s="214" t="str">
        <v>N/A</v>
      </c>
      <c r="AQ36" s="214" t="str">
        <v>N/A</v>
      </c>
      <c r="AR36" s="214">
        <v>14823</v>
      </c>
      <c r="AS36" s="214" t="str">
        <v>N/A</v>
      </c>
      <c r="AT36" s="214" t="str">
        <v>N/A</v>
      </c>
      <c r="AU36" s="215" t="str">
        <f t="array" ref="AU36:AU39">TRANSPOSE(AV35:AY35)</f>
        <v>N/A</v>
      </c>
      <c r="AV36" s="215" t="s">
        <v>213</v>
      </c>
      <c r="AW36" s="215">
        <v>20619</v>
      </c>
      <c r="AX36" s="215" t="s">
        <v>217</v>
      </c>
      <c r="AY36" s="215" t="s">
        <v>217</v>
      </c>
    </row>
    <row r="37" spans="1:51">
      <c r="A37" s="208" t="b">
        <f t="shared" si="0"/>
        <v>1</v>
      </c>
      <c r="B37" s="179"/>
      <c r="C37" s="200"/>
      <c r="D37" s="189"/>
      <c r="E37" s="203"/>
      <c r="F37" s="189"/>
      <c r="G37" s="203"/>
      <c r="H37" s="190" t="str">
        <f ca="1">IF(C37="","",IF(I37="Naval",G37*OFFSET($R$6,MATCH(C37,$R$7:$R$39,0),MATCH(E37,$S$6:$AY$6,0))*0.000014*Importación!$N$2,G37*OFFSET($R$6,MATCH(C37,$R$7:$R$39,0),MATCH(E37,$S$6:$AY$6,0))*0.00004*Importación!$N$2))</f>
        <v/>
      </c>
      <c r="I37" s="206" t="s">
        <v>131</v>
      </c>
      <c r="J37" s="186"/>
      <c r="R37" s="214" t="s">
        <v>214</v>
      </c>
      <c r="S37" s="214">
        <v>660</v>
      </c>
      <c r="T37" s="214">
        <v>660</v>
      </c>
      <c r="U37" s="214">
        <v>866</v>
      </c>
      <c r="V37" s="214">
        <v>1190</v>
      </c>
      <c r="W37" s="214" t="str">
        <v>N/A</v>
      </c>
      <c r="X37" s="214">
        <v>6943</v>
      </c>
      <c r="Y37" s="214">
        <v>6943</v>
      </c>
      <c r="Z37" s="214" t="str">
        <v>N/A</v>
      </c>
      <c r="AA37" s="214" t="str">
        <v>N/A</v>
      </c>
      <c r="AB37" s="214" t="str">
        <v>N/A</v>
      </c>
      <c r="AC37" s="214" t="str">
        <v>N/A</v>
      </c>
      <c r="AD37" s="214">
        <v>19674</v>
      </c>
      <c r="AE37" s="214">
        <v>6183</v>
      </c>
      <c r="AF37" s="214">
        <v>12301</v>
      </c>
      <c r="AG37" s="214">
        <v>10230</v>
      </c>
      <c r="AH37" s="214">
        <v>9034</v>
      </c>
      <c r="AI37" s="214">
        <v>1923</v>
      </c>
      <c r="AJ37" s="214">
        <v>2537</v>
      </c>
      <c r="AK37" s="214">
        <v>20598</v>
      </c>
      <c r="AL37" s="214">
        <v>11843</v>
      </c>
      <c r="AM37" s="214">
        <v>9610</v>
      </c>
      <c r="AN37" s="214">
        <v>14159</v>
      </c>
      <c r="AO37" s="214">
        <v>15897</v>
      </c>
      <c r="AP37" s="214">
        <v>11312</v>
      </c>
      <c r="AQ37" s="214">
        <v>9419</v>
      </c>
      <c r="AR37" s="214">
        <v>20619</v>
      </c>
      <c r="AS37" s="214">
        <v>16439</v>
      </c>
      <c r="AT37" s="214">
        <v>4310</v>
      </c>
      <c r="AU37" s="215">
        <v>5343</v>
      </c>
      <c r="AV37" s="215">
        <f t="array" ref="AV37:AV39">TRANSPOSE(AW36:AY36)</f>
        <v>20619</v>
      </c>
      <c r="AW37" s="215" t="s">
        <v>213</v>
      </c>
      <c r="AX37" s="214">
        <v>1923</v>
      </c>
      <c r="AY37" s="214">
        <v>8838</v>
      </c>
    </row>
    <row r="38" spans="1:51">
      <c r="A38" s="208" t="b">
        <f t="shared" si="0"/>
        <v>1</v>
      </c>
      <c r="B38" s="179"/>
      <c r="C38" s="200"/>
      <c r="D38" s="189"/>
      <c r="E38" s="203"/>
      <c r="F38" s="189"/>
      <c r="G38" s="203"/>
      <c r="H38" s="190" t="str">
        <f ca="1">IF(C38="","",IF(I38="Naval",G38*OFFSET($R$6,MATCH(C38,$R$7:$R$39,0),MATCH(E38,$S$6:$AY$6,0))*0.000014*Importación!$N$2,G38*OFFSET($R$6,MATCH(C38,$R$7:$R$39,0),MATCH(E38,$S$6:$AY$6,0))*0.00004*Importación!$N$2))</f>
        <v/>
      </c>
      <c r="I38" s="206" t="s">
        <v>131</v>
      </c>
      <c r="J38" s="186"/>
      <c r="R38" s="216" t="s">
        <v>215</v>
      </c>
      <c r="S38" s="214">
        <v>2583</v>
      </c>
      <c r="T38" s="214">
        <v>2583</v>
      </c>
      <c r="U38" s="214">
        <v>6283</v>
      </c>
      <c r="V38" s="214">
        <v>6770</v>
      </c>
      <c r="W38" s="214" t="str">
        <v>N/A</v>
      </c>
      <c r="X38" s="214">
        <v>8866</v>
      </c>
      <c r="Y38" s="214">
        <v>8866</v>
      </c>
      <c r="Z38" s="214" t="str">
        <v>N/A</v>
      </c>
      <c r="AA38" s="214" t="str">
        <v>N/A</v>
      </c>
      <c r="AB38" s="214" t="str">
        <v>N/A</v>
      </c>
      <c r="AC38" s="214" t="str">
        <v>N/A</v>
      </c>
      <c r="AD38" s="214" t="str">
        <v>N/A</v>
      </c>
      <c r="AE38" s="214">
        <v>8106</v>
      </c>
      <c r="AF38" s="214">
        <v>14224</v>
      </c>
      <c r="AG38" s="214">
        <v>12153</v>
      </c>
      <c r="AH38" s="214">
        <v>10957</v>
      </c>
      <c r="AI38" s="214">
        <v>1015</v>
      </c>
      <c r="AJ38" s="214">
        <v>4730</v>
      </c>
      <c r="AK38" s="214" t="str">
        <v>N/A</v>
      </c>
      <c r="AL38" s="214" t="str">
        <v>N/A</v>
      </c>
      <c r="AM38" s="214" t="str">
        <v>N/A</v>
      </c>
      <c r="AN38" s="214" t="str">
        <v>N/A</v>
      </c>
      <c r="AO38" s="214" t="str">
        <v>N/A</v>
      </c>
      <c r="AP38" s="214" t="str">
        <v>N/A</v>
      </c>
      <c r="AQ38" s="214" t="str">
        <v>N/A</v>
      </c>
      <c r="AR38" s="214" t="str">
        <v>N/A</v>
      </c>
      <c r="AS38" s="214" t="str">
        <v>N/A</v>
      </c>
      <c r="AT38" s="214" t="str">
        <v>N/A</v>
      </c>
      <c r="AU38" s="214" t="str">
        <v>N/A</v>
      </c>
      <c r="AV38" s="214" t="str">
        <v>N/A</v>
      </c>
      <c r="AW38" s="215">
        <f t="array" ref="AW38:AW39">TRANSPOSE(AX37:AY37)</f>
        <v>1923</v>
      </c>
      <c r="AX38" s="215" t="s">
        <v>213</v>
      </c>
      <c r="AY38" s="215" t="s">
        <v>217</v>
      </c>
    </row>
    <row r="39" spans="1:51">
      <c r="A39" s="208" t="b">
        <f t="shared" si="0"/>
        <v>1</v>
      </c>
      <c r="B39" s="179"/>
      <c r="C39" s="200"/>
      <c r="D39" s="189"/>
      <c r="E39" s="203"/>
      <c r="F39" s="189"/>
      <c r="G39" s="203"/>
      <c r="H39" s="190" t="str">
        <f ca="1">IF(C39="","",IF(I39="Naval",G39*OFFSET($R$6,MATCH(C39,$R$7:$R$39,0),MATCH(E39,$S$6:$AY$6,0))*0.000014*Importación!$N$2,G39*OFFSET($R$6,MATCH(C39,$R$7:$R$39,0),MATCH(E39,$S$6:$AY$6,0))*0.00004*Importación!$N$2))</f>
        <v/>
      </c>
      <c r="I39" s="206" t="s">
        <v>131</v>
      </c>
      <c r="J39" s="186"/>
      <c r="R39" s="216" t="s">
        <v>216</v>
      </c>
      <c r="S39" s="214">
        <v>8178</v>
      </c>
      <c r="T39" s="214">
        <v>7695</v>
      </c>
      <c r="U39" s="214">
        <v>8178</v>
      </c>
      <c r="V39" s="214">
        <v>8665</v>
      </c>
      <c r="W39" s="214" t="str">
        <v>N/A</v>
      </c>
      <c r="X39" s="214">
        <v>9683</v>
      </c>
      <c r="Y39" s="214">
        <v>9683</v>
      </c>
      <c r="Z39" s="214" t="str">
        <v>N/A</v>
      </c>
      <c r="AA39" s="214" t="str">
        <v>N/A</v>
      </c>
      <c r="AB39" s="214" t="str">
        <v>N/A</v>
      </c>
      <c r="AC39" s="214" t="str">
        <v>N/A</v>
      </c>
      <c r="AD39" s="214" t="str">
        <v>N/A</v>
      </c>
      <c r="AE39" s="214">
        <v>8724</v>
      </c>
      <c r="AF39" s="214">
        <v>7980</v>
      </c>
      <c r="AG39" s="214">
        <v>6386</v>
      </c>
      <c r="AH39" s="214">
        <v>9300</v>
      </c>
      <c r="AI39" s="214">
        <v>10761</v>
      </c>
      <c r="AJ39" s="214" t="str">
        <v>N/A</v>
      </c>
      <c r="AK39" s="214" t="str">
        <v>N/A</v>
      </c>
      <c r="AL39" s="214">
        <v>4459</v>
      </c>
      <c r="AM39" s="214" t="str">
        <v>N/A</v>
      </c>
      <c r="AN39" s="214" t="str">
        <v>N/A</v>
      </c>
      <c r="AO39" s="214" t="str">
        <v>N/A</v>
      </c>
      <c r="AP39" s="214" t="str">
        <v>N/A</v>
      </c>
      <c r="AQ39" s="214" t="str">
        <v>N/A</v>
      </c>
      <c r="AR39" s="214" t="str">
        <v>N/A</v>
      </c>
      <c r="AS39" s="214" t="str">
        <v>N/A</v>
      </c>
      <c r="AT39" s="214" t="str">
        <v>N/A</v>
      </c>
      <c r="AU39" s="214" t="str">
        <v>N/A</v>
      </c>
      <c r="AV39" s="214" t="str">
        <v>N/A</v>
      </c>
      <c r="AW39" s="214">
        <v>8838</v>
      </c>
      <c r="AX39" s="214" t="str">
        <f t="array" ref="AX39">TRANSPOSE(AY38)</f>
        <v>N/A</v>
      </c>
      <c r="AY39" s="214" t="s">
        <v>213</v>
      </c>
    </row>
    <row r="40" spans="1:51">
      <c r="A40" s="208" t="b">
        <f t="shared" si="0"/>
        <v>1</v>
      </c>
      <c r="B40" s="179"/>
      <c r="C40" s="200"/>
      <c r="D40" s="189"/>
      <c r="E40" s="203"/>
      <c r="F40" s="189"/>
      <c r="G40" s="203"/>
      <c r="H40" s="190" t="str">
        <f ca="1">IF(C40="","",IF(I40="Naval",G40*OFFSET($R$6,MATCH(C40,$R$7:$R$39,0),MATCH(E40,$S$6:$AY$6,0))*0.000014*Importación!$N$2,G40*OFFSET($R$6,MATCH(C40,$R$7:$R$39,0),MATCH(E40,$S$6:$AY$6,0))*0.00004*Importación!$N$2))</f>
        <v/>
      </c>
      <c r="I40" s="206" t="s">
        <v>131</v>
      </c>
      <c r="J40" s="186"/>
    </row>
    <row r="41" spans="1:51">
      <c r="A41" s="208" t="b">
        <f t="shared" si="0"/>
        <v>1</v>
      </c>
      <c r="B41" s="179"/>
      <c r="C41" s="200"/>
      <c r="D41" s="189"/>
      <c r="E41" s="203"/>
      <c r="F41" s="189"/>
      <c r="G41" s="203"/>
      <c r="H41" s="190" t="str">
        <f ca="1">IF(C41="","",IF(I41="Naval",G41*OFFSET($R$6,MATCH(C41,$R$7:$R$39,0),MATCH(E41,$S$6:$AY$6,0))*0.000014*Importación!$N$2,G41*OFFSET($R$6,MATCH(C41,$R$7:$R$39,0),MATCH(E41,$S$6:$AY$6,0))*0.00004*Importación!$N$2))</f>
        <v/>
      </c>
      <c r="I41" s="206" t="s">
        <v>131</v>
      </c>
      <c r="J41" s="186"/>
    </row>
    <row r="42" spans="1:51">
      <c r="A42" s="208" t="b">
        <f t="shared" si="0"/>
        <v>1</v>
      </c>
      <c r="B42" s="179"/>
      <c r="C42" s="200"/>
      <c r="D42" s="189"/>
      <c r="E42" s="203"/>
      <c r="F42" s="189"/>
      <c r="G42" s="203"/>
      <c r="H42" s="190" t="str">
        <f ca="1">IF(C42="","",IF(I42="Naval",G42*OFFSET($R$6,MATCH(C42,$R$7:$R$39,0),MATCH(E42,$S$6:$AY$6,0))*0.000014*Importación!$N$2,G42*OFFSET($R$6,MATCH(C42,$R$7:$R$39,0),MATCH(E42,$S$6:$AY$6,0))*0.00004*Importación!$N$2))</f>
        <v/>
      </c>
      <c r="I42" s="206" t="s">
        <v>131</v>
      </c>
      <c r="J42" s="186"/>
    </row>
    <row r="43" spans="1:51">
      <c r="A43" s="208" t="b">
        <f t="shared" si="0"/>
        <v>1</v>
      </c>
      <c r="B43" s="179"/>
      <c r="C43" s="200"/>
      <c r="D43" s="189"/>
      <c r="E43" s="203"/>
      <c r="F43" s="189"/>
      <c r="G43" s="203"/>
      <c r="H43" s="190" t="str">
        <f ca="1">IF(C43="","",IF(I43="Naval",G43*OFFSET($R$6,MATCH(C43,$R$7:$R$39,0),MATCH(E43,$S$6:$AY$6,0))*0.000014*Importación!$N$2,G43*OFFSET($R$6,MATCH(C43,$R$7:$R$39,0),MATCH(E43,$S$6:$AY$6,0))*0.00004*Importación!$N$2))</f>
        <v/>
      </c>
      <c r="I43" s="206" t="s">
        <v>131</v>
      </c>
      <c r="J43" s="186"/>
    </row>
    <row r="44" spans="1:51">
      <c r="A44" s="208" t="b">
        <f t="shared" si="0"/>
        <v>1</v>
      </c>
      <c r="B44" s="179"/>
      <c r="C44" s="200"/>
      <c r="D44" s="189"/>
      <c r="E44" s="203"/>
      <c r="F44" s="189"/>
      <c r="G44" s="203"/>
      <c r="H44" s="190" t="str">
        <f ca="1">IF(C44="","",IF(I44="Naval",G44*OFFSET($R$6,MATCH(C44,$R$7:$R$39,0),MATCH(E44,$S$6:$AY$6,0))*0.000014*Importación!$N$2,G44*OFFSET($R$6,MATCH(C44,$R$7:$R$39,0),MATCH(E44,$S$6:$AY$6,0))*0.00004*Importación!$N$2))</f>
        <v/>
      </c>
      <c r="I44" s="206" t="s">
        <v>131</v>
      </c>
      <c r="J44" s="186"/>
    </row>
    <row r="45" spans="1:51">
      <c r="A45" s="208" t="b">
        <f t="shared" si="0"/>
        <v>1</v>
      </c>
      <c r="B45" s="179"/>
      <c r="C45" s="200"/>
      <c r="D45" s="189"/>
      <c r="E45" s="203"/>
      <c r="F45" s="189"/>
      <c r="G45" s="203"/>
      <c r="H45" s="190" t="str">
        <f ca="1">IF(C45="","",IF(I45="Naval",G45*OFFSET($R$6,MATCH(C45,$R$7:$R$39,0),MATCH(E45,$S$6:$AY$6,0))*0.000014*Importación!$N$2,G45*OFFSET($R$6,MATCH(C45,$R$7:$R$39,0),MATCH(E45,$S$6:$AY$6,0))*0.00004*Importación!$N$2))</f>
        <v/>
      </c>
      <c r="I45" s="206" t="s">
        <v>131</v>
      </c>
      <c r="J45" s="186"/>
    </row>
    <row r="46" spans="1:51">
      <c r="A46" s="208" t="b">
        <f t="shared" si="0"/>
        <v>1</v>
      </c>
      <c r="B46" s="179"/>
      <c r="C46" s="200"/>
      <c r="D46" s="189"/>
      <c r="E46" s="203"/>
      <c r="F46" s="189"/>
      <c r="G46" s="203"/>
      <c r="H46" s="190" t="str">
        <f ca="1">IF(C46="","",IF(I46="Naval",G46*OFFSET($R$6,MATCH(C46,$R$7:$R$39,0),MATCH(E46,$S$6:$AY$6,0))*0.000014*Importación!$N$2,G46*OFFSET($R$6,MATCH(C46,$R$7:$R$39,0),MATCH(E46,$S$6:$AY$6,0))*0.00004*Importación!$N$2))</f>
        <v/>
      </c>
      <c r="I46" s="206" t="s">
        <v>131</v>
      </c>
      <c r="J46" s="186"/>
    </row>
    <row r="47" spans="1:51">
      <c r="A47" s="208" t="b">
        <f t="shared" si="0"/>
        <v>1</v>
      </c>
      <c r="B47" s="179"/>
      <c r="C47" s="200"/>
      <c r="D47" s="189"/>
      <c r="E47" s="203"/>
      <c r="F47" s="189"/>
      <c r="G47" s="203"/>
      <c r="H47" s="190" t="str">
        <f ca="1">IF(C47="","",IF(I47="Naval",G47*OFFSET($R$6,MATCH(C47,$R$7:$R$39,0),MATCH(E47,$S$6:$AY$6,0))*0.000014*Importación!$N$2,G47*OFFSET($R$6,MATCH(C47,$R$7:$R$39,0),MATCH(E47,$S$6:$AY$6,0))*0.00004*Importación!$N$2))</f>
        <v/>
      </c>
      <c r="I47" s="206" t="s">
        <v>131</v>
      </c>
      <c r="J47" s="186"/>
    </row>
    <row r="48" spans="1:51">
      <c r="A48" s="208" t="b">
        <f t="shared" si="0"/>
        <v>1</v>
      </c>
      <c r="B48" s="179"/>
      <c r="C48" s="200"/>
      <c r="D48" s="189"/>
      <c r="E48" s="203"/>
      <c r="F48" s="189"/>
      <c r="G48" s="203"/>
      <c r="H48" s="190" t="str">
        <f ca="1">IF(C48="","",IF(I48="Naval",G48*OFFSET($R$6,MATCH(C48,$R$7:$R$39,0),MATCH(E48,$S$6:$AY$6,0))*0.000014*Importación!$N$2,G48*OFFSET($R$6,MATCH(C48,$R$7:$R$39,0),MATCH(E48,$S$6:$AY$6,0))*0.00004*Importación!$N$2))</f>
        <v/>
      </c>
      <c r="I48" s="206" t="s">
        <v>131</v>
      </c>
      <c r="J48" s="186"/>
    </row>
    <row r="49" spans="1:10">
      <c r="A49" s="208" t="b">
        <f t="shared" si="0"/>
        <v>1</v>
      </c>
      <c r="B49" s="179"/>
      <c r="C49" s="200"/>
      <c r="D49" s="189"/>
      <c r="E49" s="203"/>
      <c r="F49" s="189"/>
      <c r="G49" s="203"/>
      <c r="H49" s="190" t="str">
        <f ca="1">IF(C49="","",IF(I49="Naval",G49*OFFSET($R$6,MATCH(C49,$R$7:$R$39,0),MATCH(E49,$S$6:$AY$6,0))*0.000014*Importación!$N$2,G49*OFFSET($R$6,MATCH(C49,$R$7:$R$39,0),MATCH(E49,$S$6:$AY$6,0))*0.00004*Importación!$N$2))</f>
        <v/>
      </c>
      <c r="I49" s="206" t="s">
        <v>131</v>
      </c>
      <c r="J49" s="186"/>
    </row>
    <row r="50" spans="1:10">
      <c r="A50" s="208" t="b">
        <f t="shared" si="0"/>
        <v>1</v>
      </c>
      <c r="B50" s="179"/>
      <c r="C50" s="200"/>
      <c r="D50" s="189"/>
      <c r="E50" s="203"/>
      <c r="F50" s="189"/>
      <c r="G50" s="203"/>
      <c r="H50" s="190" t="str">
        <f ca="1">IF(C50="","",IF(I50="Naval",G50*OFFSET($R$6,MATCH(C50,$R$7:$R$39,0),MATCH(E50,$S$6:$AY$6,0))*0.000014*Importación!$N$2,G50*OFFSET($R$6,MATCH(C50,$R$7:$R$39,0),MATCH(E50,$S$6:$AY$6,0))*0.00004*Importación!$N$2))</f>
        <v/>
      </c>
      <c r="I50" s="206" t="s">
        <v>131</v>
      </c>
      <c r="J50" s="186"/>
    </row>
    <row r="51" spans="1:10">
      <c r="A51" s="208" t="b">
        <f t="shared" si="0"/>
        <v>1</v>
      </c>
      <c r="B51" s="179"/>
      <c r="C51" s="200"/>
      <c r="D51" s="189"/>
      <c r="E51" s="203"/>
      <c r="F51" s="189"/>
      <c r="G51" s="203"/>
      <c r="H51" s="190" t="str">
        <f ca="1">IF(C51="","",IF(I51="Naval",G51*OFFSET($R$6,MATCH(C51,$R$7:$R$39,0),MATCH(E51,$S$6:$AY$6,0))*0.000014*Importación!$N$2,G51*OFFSET($R$6,MATCH(C51,$R$7:$R$39,0),MATCH(E51,$S$6:$AY$6,0))*0.00004*Importación!$N$2))</f>
        <v/>
      </c>
      <c r="I51" s="206" t="s">
        <v>131</v>
      </c>
      <c r="J51" s="186"/>
    </row>
    <row r="52" spans="1:10">
      <c r="A52" s="208" t="b">
        <f t="shared" si="0"/>
        <v>1</v>
      </c>
      <c r="B52" s="179"/>
      <c r="C52" s="200"/>
      <c r="D52" s="189"/>
      <c r="E52" s="203"/>
      <c r="F52" s="189"/>
      <c r="G52" s="203"/>
      <c r="H52" s="190" t="str">
        <f ca="1">IF(C52="","",IF(I52="Naval",G52*OFFSET($R$6,MATCH(C52,$R$7:$R$39,0),MATCH(E52,$S$6:$AY$6,0))*0.000014*Importación!$N$2,G52*OFFSET($R$6,MATCH(C52,$R$7:$R$39,0),MATCH(E52,$S$6:$AY$6,0))*0.00004*Importación!$N$2))</f>
        <v/>
      </c>
      <c r="I52" s="206" t="s">
        <v>131</v>
      </c>
      <c r="J52" s="186"/>
    </row>
    <row r="53" spans="1:10">
      <c r="A53" s="208" t="b">
        <f t="shared" si="0"/>
        <v>1</v>
      </c>
      <c r="B53" s="179"/>
      <c r="C53" s="200"/>
      <c r="D53" s="189"/>
      <c r="E53" s="203"/>
      <c r="F53" s="189"/>
      <c r="G53" s="203"/>
      <c r="H53" s="190" t="str">
        <f ca="1">IF(C53="","",IF(I53="Naval",G53*OFFSET($R$6,MATCH(C53,$R$7:$R$39,0),MATCH(E53,$S$6:$AY$6,0))*0.000014*Importación!$N$2,G53*OFFSET($R$6,MATCH(C53,$R$7:$R$39,0),MATCH(E53,$S$6:$AY$6,0))*0.00004*Importación!$N$2))</f>
        <v/>
      </c>
      <c r="I53" s="206" t="s">
        <v>131</v>
      </c>
      <c r="J53" s="186"/>
    </row>
    <row r="54" spans="1:10">
      <c r="A54" s="208" t="b">
        <f t="shared" si="0"/>
        <v>1</v>
      </c>
      <c r="B54" s="179"/>
      <c r="C54" s="200"/>
      <c r="D54" s="189"/>
      <c r="E54" s="203"/>
      <c r="F54" s="189"/>
      <c r="G54" s="203"/>
      <c r="H54" s="190" t="str">
        <f ca="1">IF(C54="","",IF(I54="Naval",G54*OFFSET($R$6,MATCH(C54,$R$7:$R$39,0),MATCH(E54,$S$6:$AY$6,0))*0.000014*Importación!$N$2,G54*OFFSET($R$6,MATCH(C54,$R$7:$R$39,0),MATCH(E54,$S$6:$AY$6,0))*0.00004*Importación!$N$2))</f>
        <v/>
      </c>
      <c r="I54" s="206" t="s">
        <v>131</v>
      </c>
      <c r="J54" s="186"/>
    </row>
    <row r="55" spans="1:10">
      <c r="A55" s="208" t="b">
        <f t="shared" si="0"/>
        <v>1</v>
      </c>
      <c r="B55" s="179"/>
      <c r="C55" s="200"/>
      <c r="D55" s="189"/>
      <c r="E55" s="203"/>
      <c r="F55" s="189"/>
      <c r="G55" s="203"/>
      <c r="H55" s="190" t="str">
        <f ca="1">IF(C55="","",IF(I55="Naval",G55*OFFSET($R$6,MATCH(C55,$R$7:$R$39,0),MATCH(E55,$S$6:$AY$6,0))*0.000014*Importación!$N$2,G55*OFFSET($R$6,MATCH(C55,$R$7:$R$39,0),MATCH(E55,$S$6:$AY$6,0))*0.00004*Importación!$N$2))</f>
        <v/>
      </c>
      <c r="I55" s="206" t="s">
        <v>131</v>
      </c>
      <c r="J55" s="186"/>
    </row>
    <row r="56" spans="1:10">
      <c r="A56" s="208" t="b">
        <f t="shared" si="0"/>
        <v>1</v>
      </c>
      <c r="B56" s="179"/>
      <c r="C56" s="200"/>
      <c r="D56" s="189"/>
      <c r="E56" s="203"/>
      <c r="F56" s="189"/>
      <c r="G56" s="203"/>
      <c r="H56" s="190" t="str">
        <f ca="1">IF(C56="","",IF(I56="Naval",G56*OFFSET($R$6,MATCH(C56,$R$7:$R$39,0),MATCH(E56,$S$6:$AY$6,0))*0.000014*Importación!$N$2,G56*OFFSET($R$6,MATCH(C56,$R$7:$R$39,0),MATCH(E56,$S$6:$AY$6,0))*0.00004*Importación!$N$2))</f>
        <v/>
      </c>
      <c r="I56" s="206" t="s">
        <v>131</v>
      </c>
      <c r="J56" s="186"/>
    </row>
    <row r="57" spans="1:10">
      <c r="A57" s="208" t="b">
        <f t="shared" si="0"/>
        <v>1</v>
      </c>
      <c r="B57" s="179"/>
      <c r="C57" s="200"/>
      <c r="D57" s="189"/>
      <c r="E57" s="203"/>
      <c r="F57" s="189"/>
      <c r="G57" s="203"/>
      <c r="H57" s="190" t="str">
        <f ca="1">IF(C57="","",IF(I57="Naval",G57*OFFSET($R$6,MATCH(C57,$R$7:$R$39,0),MATCH(E57,$S$6:$AY$6,0))*0.000014*Importación!$N$2,G57*OFFSET($R$6,MATCH(C57,$R$7:$R$39,0),MATCH(E57,$S$6:$AY$6,0))*0.00004*Importación!$N$2))</f>
        <v/>
      </c>
      <c r="I57" s="206" t="s">
        <v>131</v>
      </c>
      <c r="J57" s="186"/>
    </row>
    <row r="58" spans="1:10">
      <c r="A58" s="208" t="b">
        <f t="shared" si="0"/>
        <v>1</v>
      </c>
      <c r="B58" s="179"/>
      <c r="C58" s="200"/>
      <c r="D58" s="189"/>
      <c r="E58" s="203"/>
      <c r="F58" s="189"/>
      <c r="G58" s="203"/>
      <c r="H58" s="190" t="str">
        <f ca="1">IF(C58="","",IF(I58="Naval",G58*OFFSET($R$6,MATCH(C58,$R$7:$R$39,0),MATCH(E58,$S$6:$AY$6,0))*0.000014*Importación!$N$2,G58*OFFSET($R$6,MATCH(C58,$R$7:$R$39,0),MATCH(E58,$S$6:$AY$6,0))*0.00004*Importación!$N$2))</f>
        <v/>
      </c>
      <c r="I58" s="206" t="s">
        <v>131</v>
      </c>
      <c r="J58" s="186"/>
    </row>
    <row r="59" spans="1:10">
      <c r="A59" s="208" t="b">
        <f t="shared" si="0"/>
        <v>1</v>
      </c>
      <c r="B59" s="179"/>
      <c r="C59" s="200"/>
      <c r="D59" s="189"/>
      <c r="E59" s="203"/>
      <c r="F59" s="189"/>
      <c r="G59" s="203"/>
      <c r="H59" s="190" t="str">
        <f ca="1">IF(C59="","",IF(I59="Naval",G59*OFFSET($R$6,MATCH(C59,$R$7:$R$39,0),MATCH(E59,$S$6:$AY$6,0))*0.000014*Importación!$N$2,G59*OFFSET($R$6,MATCH(C59,$R$7:$R$39,0),MATCH(E59,$S$6:$AY$6,0))*0.00004*Importación!$N$2))</f>
        <v/>
      </c>
      <c r="I59" s="206" t="s">
        <v>131</v>
      </c>
      <c r="J59" s="186"/>
    </row>
    <row r="60" spans="1:10">
      <c r="A60" s="208" t="b">
        <f t="shared" si="0"/>
        <v>1</v>
      </c>
      <c r="B60" s="179"/>
      <c r="C60" s="200"/>
      <c r="D60" s="189"/>
      <c r="E60" s="203"/>
      <c r="F60" s="189"/>
      <c r="G60" s="203"/>
      <c r="H60" s="190" t="str">
        <f ca="1">IF(C60="","",IF(I60="Naval",G60*OFFSET($R$6,MATCH(C60,$R$7:$R$39,0),MATCH(E60,$S$6:$AY$6,0))*0.000014*Importación!$N$2,G60*OFFSET($R$6,MATCH(C60,$R$7:$R$39,0),MATCH(E60,$S$6:$AY$6,0))*0.00004*Importación!$N$2))</f>
        <v/>
      </c>
      <c r="I60" s="206" t="s">
        <v>131</v>
      </c>
      <c r="J60" s="186"/>
    </row>
    <row r="61" spans="1:10">
      <c r="A61" s="208" t="b">
        <f t="shared" si="0"/>
        <v>1</v>
      </c>
      <c r="B61" s="179"/>
      <c r="C61" s="200"/>
      <c r="D61" s="189"/>
      <c r="E61" s="203"/>
      <c r="F61" s="189"/>
      <c r="G61" s="203"/>
      <c r="H61" s="190" t="str">
        <f ca="1">IF(C61="","",IF(I61="Naval",G61*OFFSET($R$6,MATCH(C61,$R$7:$R$39,0),MATCH(E61,$S$6:$AY$6,0))*0.000014*Importación!$N$2,G61*OFFSET($R$6,MATCH(C61,$R$7:$R$39,0),MATCH(E61,$S$6:$AY$6,0))*0.00004*Importación!$N$2))</f>
        <v/>
      </c>
      <c r="I61" s="206" t="s">
        <v>131</v>
      </c>
      <c r="J61" s="186"/>
    </row>
    <row r="62" spans="1:10">
      <c r="A62" s="208" t="b">
        <f t="shared" si="0"/>
        <v>1</v>
      </c>
      <c r="B62" s="179"/>
      <c r="C62" s="200"/>
      <c r="D62" s="189"/>
      <c r="E62" s="203"/>
      <c r="F62" s="189"/>
      <c r="G62" s="203"/>
      <c r="H62" s="190" t="str">
        <f ca="1">IF(C62="","",IF(I62="Naval",G62*OFFSET($R$6,MATCH(C62,$R$7:$R$39,0),MATCH(E62,$S$6:$AY$6,0))*0.000014*Importación!$N$2,G62*OFFSET($R$6,MATCH(C62,$R$7:$R$39,0),MATCH(E62,$S$6:$AY$6,0))*0.00004*Importación!$N$2))</f>
        <v/>
      </c>
      <c r="I62" s="206" t="s">
        <v>131</v>
      </c>
      <c r="J62" s="186"/>
    </row>
    <row r="63" spans="1:10">
      <c r="A63" s="208" t="b">
        <f t="shared" si="0"/>
        <v>1</v>
      </c>
      <c r="B63" s="179"/>
      <c r="C63" s="200"/>
      <c r="D63" s="189"/>
      <c r="E63" s="203"/>
      <c r="F63" s="189"/>
      <c r="G63" s="203"/>
      <c r="H63" s="190" t="str">
        <f ca="1">IF(C63="","",IF(I63="Naval",G63*OFFSET($R$6,MATCH(C63,$R$7:$R$39,0),MATCH(E63,$S$6:$AY$6,0))*0.000014*Importación!$N$2,G63*OFFSET($R$6,MATCH(C63,$R$7:$R$39,0),MATCH(E63,$S$6:$AY$6,0))*0.00004*Importación!$N$2))</f>
        <v/>
      </c>
      <c r="I63" s="206" t="s">
        <v>131</v>
      </c>
      <c r="J63" s="186"/>
    </row>
    <row r="64" spans="1:10">
      <c r="A64" s="208" t="b">
        <f t="shared" si="0"/>
        <v>1</v>
      </c>
      <c r="B64" s="179"/>
      <c r="C64" s="200"/>
      <c r="D64" s="189"/>
      <c r="E64" s="203"/>
      <c r="F64" s="189"/>
      <c r="G64" s="203"/>
      <c r="H64" s="190" t="str">
        <f ca="1">IF(C64="","",IF(I64="Naval",G64*OFFSET($R$6,MATCH(C64,$R$7:$R$39,0),MATCH(E64,$S$6:$AY$6,0))*0.000014*Importación!$N$2,G64*OFFSET($R$6,MATCH(C64,$R$7:$R$39,0),MATCH(E64,$S$6:$AY$6,0))*0.00004*Importación!$N$2))</f>
        <v/>
      </c>
      <c r="I64" s="206" t="s">
        <v>131</v>
      </c>
      <c r="J64" s="186"/>
    </row>
    <row r="65" spans="1:10">
      <c r="A65" s="208" t="b">
        <f t="shared" si="0"/>
        <v>1</v>
      </c>
      <c r="B65" s="179"/>
      <c r="C65" s="200"/>
      <c r="D65" s="189"/>
      <c r="E65" s="203"/>
      <c r="F65" s="189"/>
      <c r="G65" s="203"/>
      <c r="H65" s="190" t="str">
        <f ca="1">IF(C65="","",IF(I65="Naval",G65*OFFSET($R$6,MATCH(C65,$R$7:$R$39,0),MATCH(E65,$S$6:$AY$6,0))*0.000014*Importación!$N$2,G65*OFFSET($R$6,MATCH(C65,$R$7:$R$39,0),MATCH(E65,$S$6:$AY$6,0))*0.00004*Importación!$N$2))</f>
        <v/>
      </c>
      <c r="I65" s="206" t="s">
        <v>131</v>
      </c>
      <c r="J65" s="186"/>
    </row>
    <row r="66" spans="1:10">
      <c r="A66" s="208" t="b">
        <f t="shared" si="0"/>
        <v>1</v>
      </c>
      <c r="B66" s="179"/>
      <c r="C66" s="200"/>
      <c r="D66" s="189"/>
      <c r="E66" s="203"/>
      <c r="F66" s="189"/>
      <c r="G66" s="203"/>
      <c r="H66" s="190" t="str">
        <f ca="1">IF(C66="","",IF(I66="Naval",G66*OFFSET($R$6,MATCH(C66,$R$7:$R$39,0),MATCH(E66,$S$6:$AY$6,0))*0.000014*Importación!$N$2,G66*OFFSET($R$6,MATCH(C66,$R$7:$R$39,0),MATCH(E66,$S$6:$AY$6,0))*0.00004*Importación!$N$2))</f>
        <v/>
      </c>
      <c r="I66" s="206" t="s">
        <v>131</v>
      </c>
      <c r="J66" s="186"/>
    </row>
    <row r="67" spans="1:10">
      <c r="A67" s="208" t="b">
        <f t="shared" si="0"/>
        <v>1</v>
      </c>
      <c r="B67" s="179"/>
      <c r="C67" s="200"/>
      <c r="D67" s="189"/>
      <c r="E67" s="203"/>
      <c r="F67" s="189"/>
      <c r="G67" s="203"/>
      <c r="H67" s="190" t="str">
        <f ca="1">IF(C67="","",IF(I67="Naval",G67*OFFSET($R$6,MATCH(C67,$R$7:$R$39,0),MATCH(E67,$S$6:$AY$6,0))*0.000014*Importación!$N$2,G67*OFFSET($R$6,MATCH(C67,$R$7:$R$39,0),MATCH(E67,$S$6:$AY$6,0))*0.00004*Importación!$N$2))</f>
        <v/>
      </c>
      <c r="I67" s="206" t="s">
        <v>131</v>
      </c>
      <c r="J67" s="186"/>
    </row>
    <row r="68" spans="1:10">
      <c r="A68" s="208" t="b">
        <f t="shared" si="0"/>
        <v>1</v>
      </c>
      <c r="B68" s="179"/>
      <c r="C68" s="200"/>
      <c r="D68" s="189"/>
      <c r="E68" s="203"/>
      <c r="F68" s="189"/>
      <c r="G68" s="203"/>
      <c r="H68" s="190" t="str">
        <f ca="1">IF(C68="","",IF(I68="Naval",G68*OFFSET($R$6,MATCH(C68,$R$7:$R$39,0),MATCH(E68,$S$6:$AY$6,0))*0.000014*Importación!$N$2,G68*OFFSET($R$6,MATCH(C68,$R$7:$R$39,0),MATCH(E68,$S$6:$AY$6,0))*0.00004*Importación!$N$2))</f>
        <v/>
      </c>
      <c r="I68" s="206" t="s">
        <v>131</v>
      </c>
      <c r="J68" s="186"/>
    </row>
    <row r="69" spans="1:10">
      <c r="A69" s="208" t="b">
        <f t="shared" si="0"/>
        <v>1</v>
      </c>
      <c r="B69" s="179"/>
      <c r="C69" s="200"/>
      <c r="D69" s="189"/>
      <c r="E69" s="203"/>
      <c r="F69" s="189"/>
      <c r="G69" s="203"/>
      <c r="H69" s="190" t="str">
        <f ca="1">IF(C69="","",IF(I69="Naval",G69*OFFSET($R$6,MATCH(C69,$R$7:$R$39,0),MATCH(E69,$S$6:$AY$6,0))*0.000014*Importación!$N$2,G69*OFFSET($R$6,MATCH(C69,$R$7:$R$39,0),MATCH(E69,$S$6:$AY$6,0))*0.00004*Importación!$N$2))</f>
        <v/>
      </c>
      <c r="I69" s="206" t="s">
        <v>131</v>
      </c>
      <c r="J69" s="186"/>
    </row>
    <row r="70" spans="1:10">
      <c r="A70" s="208" t="b">
        <f t="shared" si="0"/>
        <v>1</v>
      </c>
      <c r="B70" s="179"/>
      <c r="C70" s="200"/>
      <c r="D70" s="189"/>
      <c r="E70" s="203"/>
      <c r="F70" s="189"/>
      <c r="G70" s="203"/>
      <c r="H70" s="190" t="str">
        <f ca="1">IF(C70="","",IF(I70="Naval",G70*OFFSET($R$6,MATCH(C70,$R$7:$R$39,0),MATCH(E70,$S$6:$AY$6,0))*0.000014*Importación!$N$2,G70*OFFSET($R$6,MATCH(C70,$R$7:$R$39,0),MATCH(E70,$S$6:$AY$6,0))*0.00004*Importación!$N$2))</f>
        <v/>
      </c>
      <c r="I70" s="206" t="s">
        <v>131</v>
      </c>
      <c r="J70" s="186"/>
    </row>
    <row r="71" spans="1:10">
      <c r="A71" s="208" t="b">
        <f t="shared" ref="A71:A101" si="1">OR(C71="",E71="")</f>
        <v>1</v>
      </c>
      <c r="B71" s="179"/>
      <c r="C71" s="200"/>
      <c r="D71" s="189"/>
      <c r="E71" s="203"/>
      <c r="F71" s="189"/>
      <c r="G71" s="203"/>
      <c r="H71" s="190" t="str">
        <f ca="1">IF(C71="","",IF(I71="Naval",G71*OFFSET($R$6,MATCH(C71,$R$7:$R$39,0),MATCH(E71,$S$6:$AY$6,0))*0.000014*Importación!$N$2,G71*OFFSET($R$6,MATCH(C71,$R$7:$R$39,0),MATCH(E71,$S$6:$AY$6,0))*0.00004*Importación!$N$2))</f>
        <v/>
      </c>
      <c r="I71" s="206" t="s">
        <v>131</v>
      </c>
      <c r="J71" s="186"/>
    </row>
    <row r="72" spans="1:10">
      <c r="A72" s="208" t="b">
        <f t="shared" si="1"/>
        <v>1</v>
      </c>
      <c r="B72" s="179"/>
      <c r="C72" s="200"/>
      <c r="D72" s="189"/>
      <c r="E72" s="203"/>
      <c r="F72" s="189"/>
      <c r="G72" s="203"/>
      <c r="H72" s="190" t="str">
        <f ca="1">IF(C72="","",IF(I72="Naval",G72*OFFSET($R$6,MATCH(C72,$R$7:$R$39,0),MATCH(E72,$S$6:$AY$6,0))*0.000014*Importación!$N$2,G72*OFFSET($R$6,MATCH(C72,$R$7:$R$39,0),MATCH(E72,$S$6:$AY$6,0))*0.00004*Importación!$N$2))</f>
        <v/>
      </c>
      <c r="I72" s="206" t="s">
        <v>131</v>
      </c>
      <c r="J72" s="186"/>
    </row>
    <row r="73" spans="1:10">
      <c r="A73" s="208" t="b">
        <f t="shared" si="1"/>
        <v>1</v>
      </c>
      <c r="B73" s="179"/>
      <c r="C73" s="200"/>
      <c r="D73" s="189"/>
      <c r="E73" s="203"/>
      <c r="F73" s="189"/>
      <c r="G73" s="203"/>
      <c r="H73" s="190" t="str">
        <f ca="1">IF(C73="","",IF(I73="Naval",G73*OFFSET($R$6,MATCH(C73,$R$7:$R$39,0),MATCH(E73,$S$6:$AY$6,0))*0.000014*Importación!$N$2,G73*OFFSET($R$6,MATCH(C73,$R$7:$R$39,0),MATCH(E73,$S$6:$AY$6,0))*0.00004*Importación!$N$2))</f>
        <v/>
      </c>
      <c r="I73" s="206" t="s">
        <v>131</v>
      </c>
      <c r="J73" s="186"/>
    </row>
    <row r="74" spans="1:10">
      <c r="A74" s="208" t="b">
        <f t="shared" si="1"/>
        <v>1</v>
      </c>
      <c r="B74" s="179"/>
      <c r="C74" s="200"/>
      <c r="D74" s="189"/>
      <c r="E74" s="203"/>
      <c r="F74" s="189"/>
      <c r="G74" s="203"/>
      <c r="H74" s="190" t="str">
        <f ca="1">IF(C74="","",IF(I74="Naval",G74*OFFSET($R$6,MATCH(C74,$R$7:$R$39,0),MATCH(E74,$S$6:$AY$6,0))*0.000014*Importación!$N$2,G74*OFFSET($R$6,MATCH(C74,$R$7:$R$39,0),MATCH(E74,$S$6:$AY$6,0))*0.00004*Importación!$N$2))</f>
        <v/>
      </c>
      <c r="I74" s="206" t="s">
        <v>131</v>
      </c>
      <c r="J74" s="186"/>
    </row>
    <row r="75" spans="1:10">
      <c r="A75" s="208" t="b">
        <f t="shared" si="1"/>
        <v>1</v>
      </c>
      <c r="B75" s="179"/>
      <c r="C75" s="200"/>
      <c r="D75" s="189"/>
      <c r="E75" s="203"/>
      <c r="F75" s="189"/>
      <c r="G75" s="203"/>
      <c r="H75" s="190" t="str">
        <f ca="1">IF(C75="","",IF(I75="Naval",G75*OFFSET($R$6,MATCH(C75,$R$7:$R$39,0),MATCH(E75,$S$6:$AY$6,0))*0.000014*Importación!$N$2,G75*OFFSET($R$6,MATCH(C75,$R$7:$R$39,0),MATCH(E75,$S$6:$AY$6,0))*0.00004*Importación!$N$2))</f>
        <v/>
      </c>
      <c r="I75" s="206" t="s">
        <v>131</v>
      </c>
      <c r="J75" s="186"/>
    </row>
    <row r="76" spans="1:10">
      <c r="A76" s="208" t="b">
        <f t="shared" si="1"/>
        <v>1</v>
      </c>
      <c r="B76" s="179"/>
      <c r="C76" s="200"/>
      <c r="D76" s="189"/>
      <c r="E76" s="203"/>
      <c r="F76" s="189"/>
      <c r="G76" s="203"/>
      <c r="H76" s="190" t="str">
        <f ca="1">IF(C76="","",IF(I76="Naval",G76*OFFSET($R$6,MATCH(C76,$R$7:$R$39,0),MATCH(E76,$S$6:$AY$6,0))*0.000014*Importación!$N$2,G76*OFFSET($R$6,MATCH(C76,$R$7:$R$39,0),MATCH(E76,$S$6:$AY$6,0))*0.00004*Importación!$N$2))</f>
        <v/>
      </c>
      <c r="I76" s="206" t="s">
        <v>131</v>
      </c>
      <c r="J76" s="186"/>
    </row>
    <row r="77" spans="1:10">
      <c r="A77" s="208" t="b">
        <f t="shared" si="1"/>
        <v>1</v>
      </c>
      <c r="B77" s="179"/>
      <c r="C77" s="200"/>
      <c r="D77" s="189"/>
      <c r="E77" s="203"/>
      <c r="F77" s="189"/>
      <c r="G77" s="203"/>
      <c r="H77" s="190" t="str">
        <f ca="1">IF(C77="","",IF(I77="Naval",G77*OFFSET($R$6,MATCH(C77,$R$7:$R$39,0),MATCH(E77,$S$6:$AY$6,0))*0.000014*Importación!$N$2,G77*OFFSET($R$6,MATCH(C77,$R$7:$R$39,0),MATCH(E77,$S$6:$AY$6,0))*0.00004*Importación!$N$2))</f>
        <v/>
      </c>
      <c r="I77" s="206" t="s">
        <v>131</v>
      </c>
      <c r="J77" s="186"/>
    </row>
    <row r="78" spans="1:10">
      <c r="A78" s="208" t="b">
        <f t="shared" si="1"/>
        <v>1</v>
      </c>
      <c r="B78" s="179"/>
      <c r="C78" s="200"/>
      <c r="D78" s="189"/>
      <c r="E78" s="203"/>
      <c r="F78" s="189"/>
      <c r="G78" s="203"/>
      <c r="H78" s="190" t="str">
        <f ca="1">IF(C78="","",IF(I78="Naval",G78*OFFSET($R$6,MATCH(C78,$R$7:$R$39,0),MATCH(E78,$S$6:$AY$6,0))*0.000014*Importación!$N$2,G78*OFFSET($R$6,MATCH(C78,$R$7:$R$39,0),MATCH(E78,$S$6:$AY$6,0))*0.00004*Importación!$N$2))</f>
        <v/>
      </c>
      <c r="I78" s="206" t="s">
        <v>131</v>
      </c>
      <c r="J78" s="186"/>
    </row>
    <row r="79" spans="1:10">
      <c r="A79" s="208" t="b">
        <f t="shared" si="1"/>
        <v>1</v>
      </c>
      <c r="B79" s="179"/>
      <c r="C79" s="200"/>
      <c r="D79" s="189"/>
      <c r="E79" s="203"/>
      <c r="F79" s="189"/>
      <c r="G79" s="203"/>
      <c r="H79" s="190" t="str">
        <f ca="1">IF(C79="","",IF(I79="Naval",G79*OFFSET($R$6,MATCH(C79,$R$7:$R$39,0),MATCH(E79,$S$6:$AY$6,0))*0.000014*Importación!$N$2,G79*OFFSET($R$6,MATCH(C79,$R$7:$R$39,0),MATCH(E79,$S$6:$AY$6,0))*0.00004*Importación!$N$2))</f>
        <v/>
      </c>
      <c r="I79" s="206" t="s">
        <v>131</v>
      </c>
      <c r="J79" s="186"/>
    </row>
    <row r="80" spans="1:10">
      <c r="A80" s="208" t="b">
        <f t="shared" si="1"/>
        <v>1</v>
      </c>
      <c r="B80" s="179"/>
      <c r="C80" s="200"/>
      <c r="D80" s="189"/>
      <c r="E80" s="203"/>
      <c r="F80" s="189"/>
      <c r="G80" s="203"/>
      <c r="H80" s="190" t="str">
        <f ca="1">IF(C80="","",IF(I80="Naval",G80*OFFSET($R$6,MATCH(C80,$R$7:$R$39,0),MATCH(E80,$S$6:$AY$6,0))*0.000014*Importación!$N$2,G80*OFFSET($R$6,MATCH(C80,$R$7:$R$39,0),MATCH(E80,$S$6:$AY$6,0))*0.00004*Importación!$N$2))</f>
        <v/>
      </c>
      <c r="I80" s="206" t="s">
        <v>131</v>
      </c>
      <c r="J80" s="186"/>
    </row>
    <row r="81" spans="1:10">
      <c r="A81" s="208" t="b">
        <f t="shared" si="1"/>
        <v>1</v>
      </c>
      <c r="B81" s="179"/>
      <c r="C81" s="200"/>
      <c r="D81" s="189"/>
      <c r="E81" s="203"/>
      <c r="F81" s="189"/>
      <c r="G81" s="203"/>
      <c r="H81" s="190" t="str">
        <f ca="1">IF(C81="","",IF(I81="Naval",G81*OFFSET($R$6,MATCH(C81,$R$7:$R$39,0),MATCH(E81,$S$6:$AY$6,0))*0.000014*Importación!$N$2,G81*OFFSET($R$6,MATCH(C81,$R$7:$R$39,0),MATCH(E81,$S$6:$AY$6,0))*0.00004*Importación!$N$2))</f>
        <v/>
      </c>
      <c r="I81" s="206" t="s">
        <v>131</v>
      </c>
      <c r="J81" s="186"/>
    </row>
    <row r="82" spans="1:10">
      <c r="A82" s="208" t="b">
        <f t="shared" si="1"/>
        <v>1</v>
      </c>
      <c r="B82" s="179"/>
      <c r="C82" s="200"/>
      <c r="D82" s="189"/>
      <c r="E82" s="203"/>
      <c r="F82" s="189"/>
      <c r="G82" s="203"/>
      <c r="H82" s="190" t="str">
        <f ca="1">IF(C82="","",IF(I82="Naval",G82*OFFSET($R$6,MATCH(C82,$R$7:$R$39,0),MATCH(E82,$S$6:$AY$6,0))*0.000014*Importación!$N$2,G82*OFFSET($R$6,MATCH(C82,$R$7:$R$39,0),MATCH(E82,$S$6:$AY$6,0))*0.00004*Importación!$N$2))</f>
        <v/>
      </c>
      <c r="I82" s="206" t="s">
        <v>131</v>
      </c>
      <c r="J82" s="186"/>
    </row>
    <row r="83" spans="1:10">
      <c r="A83" s="208" t="b">
        <f t="shared" si="1"/>
        <v>1</v>
      </c>
      <c r="B83" s="179"/>
      <c r="C83" s="200"/>
      <c r="D83" s="189"/>
      <c r="E83" s="203"/>
      <c r="F83" s="189"/>
      <c r="G83" s="203"/>
      <c r="H83" s="190" t="str">
        <f ca="1">IF(C83="","",IF(I83="Naval",G83*OFFSET($R$6,MATCH(C83,$R$7:$R$39,0),MATCH(E83,$S$6:$AY$6,0))*0.000014*Importación!$N$2,G83*OFFSET($R$6,MATCH(C83,$R$7:$R$39,0),MATCH(E83,$S$6:$AY$6,0))*0.00004*Importación!$N$2))</f>
        <v/>
      </c>
      <c r="I83" s="206" t="s">
        <v>131</v>
      </c>
      <c r="J83" s="186"/>
    </row>
    <row r="84" spans="1:10">
      <c r="A84" s="208" t="b">
        <f t="shared" si="1"/>
        <v>1</v>
      </c>
      <c r="B84" s="179"/>
      <c r="C84" s="200"/>
      <c r="D84" s="189"/>
      <c r="E84" s="203"/>
      <c r="F84" s="189"/>
      <c r="G84" s="203"/>
      <c r="H84" s="190" t="str">
        <f ca="1">IF(C84="","",IF(I84="Naval",G84*OFFSET($R$6,MATCH(C84,$R$7:$R$39,0),MATCH(E84,$S$6:$AY$6,0))*0.000014*Importación!$N$2,G84*OFFSET($R$6,MATCH(C84,$R$7:$R$39,0),MATCH(E84,$S$6:$AY$6,0))*0.00004*Importación!$N$2))</f>
        <v/>
      </c>
      <c r="I84" s="206" t="s">
        <v>131</v>
      </c>
      <c r="J84" s="186"/>
    </row>
    <row r="85" spans="1:10">
      <c r="A85" s="208" t="b">
        <f t="shared" si="1"/>
        <v>1</v>
      </c>
      <c r="B85" s="179"/>
      <c r="C85" s="200"/>
      <c r="D85" s="189"/>
      <c r="E85" s="203"/>
      <c r="F85" s="189"/>
      <c r="G85" s="203"/>
      <c r="H85" s="190" t="str">
        <f ca="1">IF(C85="","",IF(I85="Naval",G85*OFFSET($R$6,MATCH(C85,$R$7:$R$39,0),MATCH(E85,$S$6:$AY$6,0))*0.000014*Importación!$N$2,G85*OFFSET($R$6,MATCH(C85,$R$7:$R$39,0),MATCH(E85,$S$6:$AY$6,0))*0.00004*Importación!$N$2))</f>
        <v/>
      </c>
      <c r="I85" s="206" t="s">
        <v>131</v>
      </c>
      <c r="J85" s="186"/>
    </row>
    <row r="86" spans="1:10">
      <c r="A86" s="208" t="b">
        <f t="shared" si="1"/>
        <v>1</v>
      </c>
      <c r="B86" s="179"/>
      <c r="C86" s="200"/>
      <c r="D86" s="189"/>
      <c r="E86" s="203"/>
      <c r="F86" s="189"/>
      <c r="G86" s="203"/>
      <c r="H86" s="190" t="str">
        <f ca="1">IF(C86="","",IF(I86="Naval",G86*OFFSET($R$6,MATCH(C86,$R$7:$R$39,0),MATCH(E86,$S$6:$AY$6,0))*0.000014*Importación!$N$2,G86*OFFSET($R$6,MATCH(C86,$R$7:$R$39,0),MATCH(E86,$S$6:$AY$6,0))*0.00004*Importación!$N$2))</f>
        <v/>
      </c>
      <c r="I86" s="206" t="s">
        <v>131</v>
      </c>
      <c r="J86" s="186"/>
    </row>
    <row r="87" spans="1:10">
      <c r="A87" s="208" t="b">
        <f t="shared" si="1"/>
        <v>1</v>
      </c>
      <c r="B87" s="179"/>
      <c r="C87" s="200"/>
      <c r="D87" s="189"/>
      <c r="E87" s="203"/>
      <c r="F87" s="189"/>
      <c r="G87" s="203"/>
      <c r="H87" s="190" t="str">
        <f ca="1">IF(C87="","",IF(I87="Naval",G87*OFFSET($R$6,MATCH(C87,$R$7:$R$39,0),MATCH(E87,$S$6:$AY$6,0))*0.000014*Importación!$N$2,G87*OFFSET($R$6,MATCH(C87,$R$7:$R$39,0),MATCH(E87,$S$6:$AY$6,0))*0.00004*Importación!$N$2))</f>
        <v/>
      </c>
      <c r="I87" s="206" t="s">
        <v>131</v>
      </c>
      <c r="J87" s="186"/>
    </row>
    <row r="88" spans="1:10">
      <c r="A88" s="208" t="b">
        <f t="shared" si="1"/>
        <v>1</v>
      </c>
      <c r="B88" s="179"/>
      <c r="C88" s="200"/>
      <c r="D88" s="189"/>
      <c r="E88" s="203"/>
      <c r="F88" s="189"/>
      <c r="G88" s="203"/>
      <c r="H88" s="190" t="str">
        <f ca="1">IF(C88="","",IF(I88="Naval",G88*OFFSET($R$6,MATCH(C88,$R$7:$R$39,0),MATCH(E88,$S$6:$AY$6,0))*0.000014*Importación!$N$2,G88*OFFSET($R$6,MATCH(C88,$R$7:$R$39,0),MATCH(E88,$S$6:$AY$6,0))*0.00004*Importación!$N$2))</f>
        <v/>
      </c>
      <c r="I88" s="206" t="s">
        <v>131</v>
      </c>
      <c r="J88" s="186"/>
    </row>
    <row r="89" spans="1:10">
      <c r="A89" s="208" t="b">
        <f t="shared" si="1"/>
        <v>1</v>
      </c>
      <c r="B89" s="179"/>
      <c r="C89" s="200"/>
      <c r="D89" s="189"/>
      <c r="E89" s="203"/>
      <c r="F89" s="189"/>
      <c r="G89" s="203"/>
      <c r="H89" s="190" t="str">
        <f ca="1">IF(C89="","",IF(I89="Naval",G89*OFFSET($R$6,MATCH(C89,$R$7:$R$39,0),MATCH(E89,$S$6:$AY$6,0))*0.000014*Importación!$N$2,G89*OFFSET($R$6,MATCH(C89,$R$7:$R$39,0),MATCH(E89,$S$6:$AY$6,0))*0.00004*Importación!$N$2))</f>
        <v/>
      </c>
      <c r="I89" s="206" t="s">
        <v>131</v>
      </c>
      <c r="J89" s="186"/>
    </row>
    <row r="90" spans="1:10">
      <c r="A90" s="208" t="b">
        <f t="shared" si="1"/>
        <v>1</v>
      </c>
      <c r="B90" s="179"/>
      <c r="C90" s="200"/>
      <c r="D90" s="189"/>
      <c r="E90" s="203"/>
      <c r="F90" s="189"/>
      <c r="G90" s="203"/>
      <c r="H90" s="190" t="str">
        <f ca="1">IF(C90="","",IF(I90="Naval",G90*OFFSET($R$6,MATCH(C90,$R$7:$R$39,0),MATCH(E90,$S$6:$AY$6,0))*0.000014*Importación!$N$2,G90*OFFSET($R$6,MATCH(C90,$R$7:$R$39,0),MATCH(E90,$S$6:$AY$6,0))*0.00004*Importación!$N$2))</f>
        <v/>
      </c>
      <c r="I90" s="206" t="s">
        <v>131</v>
      </c>
      <c r="J90" s="186"/>
    </row>
    <row r="91" spans="1:10">
      <c r="A91" s="208" t="b">
        <f t="shared" si="1"/>
        <v>1</v>
      </c>
      <c r="B91" s="179"/>
      <c r="C91" s="200"/>
      <c r="D91" s="189"/>
      <c r="E91" s="203"/>
      <c r="F91" s="189"/>
      <c r="G91" s="203"/>
      <c r="H91" s="190" t="str">
        <f ca="1">IF(C91="","",IF(I91="Naval",G91*OFFSET($R$6,MATCH(C91,$R$7:$R$39,0),MATCH(E91,$S$6:$AY$6,0))*0.000014*Importación!$N$2,G91*OFFSET($R$6,MATCH(C91,$R$7:$R$39,0),MATCH(E91,$S$6:$AY$6,0))*0.00004*Importación!$N$2))</f>
        <v/>
      </c>
      <c r="I91" s="206" t="s">
        <v>131</v>
      </c>
      <c r="J91" s="186"/>
    </row>
    <row r="92" spans="1:10">
      <c r="A92" s="208" t="b">
        <f t="shared" si="1"/>
        <v>1</v>
      </c>
      <c r="B92" s="179"/>
      <c r="C92" s="200"/>
      <c r="D92" s="189"/>
      <c r="E92" s="203"/>
      <c r="F92" s="189"/>
      <c r="G92" s="203"/>
      <c r="H92" s="190" t="str">
        <f ca="1">IF(C92="","",IF(I92="Naval",G92*OFFSET($R$6,MATCH(C92,$R$7:$R$39,0),MATCH(E92,$S$6:$AY$6,0))*0.000014*Importación!$N$2,G92*OFFSET($R$6,MATCH(C92,$R$7:$R$39,0),MATCH(E92,$S$6:$AY$6,0))*0.00004*Importación!$N$2))</f>
        <v/>
      </c>
      <c r="I92" s="206" t="s">
        <v>131</v>
      </c>
      <c r="J92" s="186"/>
    </row>
    <row r="93" spans="1:10">
      <c r="A93" s="208" t="b">
        <f t="shared" si="1"/>
        <v>1</v>
      </c>
      <c r="B93" s="179"/>
      <c r="C93" s="200"/>
      <c r="D93" s="189"/>
      <c r="E93" s="203"/>
      <c r="F93" s="189"/>
      <c r="G93" s="203"/>
      <c r="H93" s="190" t="str">
        <f ca="1">IF(C93="","",IF(I93="Naval",G93*OFFSET($R$6,MATCH(C93,$R$7:$R$39,0),MATCH(E93,$S$6:$AY$6,0))*0.000014*Importación!$N$2,G93*OFFSET($R$6,MATCH(C93,$R$7:$R$39,0),MATCH(E93,$S$6:$AY$6,0))*0.00004*Importación!$N$2))</f>
        <v/>
      </c>
      <c r="I93" s="206" t="s">
        <v>131</v>
      </c>
      <c r="J93" s="186"/>
    </row>
    <row r="94" spans="1:10">
      <c r="A94" s="208" t="b">
        <f t="shared" si="1"/>
        <v>1</v>
      </c>
      <c r="B94" s="179"/>
      <c r="C94" s="200"/>
      <c r="D94" s="189"/>
      <c r="E94" s="203"/>
      <c r="F94" s="189"/>
      <c r="G94" s="203"/>
      <c r="H94" s="190" t="str">
        <f ca="1">IF(C94="","",IF(I94="Naval",G94*OFFSET($R$6,MATCH(C94,$R$7:$R$39,0),MATCH(E94,$S$6:$AY$6,0))*0.000014*Importación!$N$2,G94*OFFSET($R$6,MATCH(C94,$R$7:$R$39,0),MATCH(E94,$S$6:$AY$6,0))*0.00004*Importación!$N$2))</f>
        <v/>
      </c>
      <c r="I94" s="206" t="s">
        <v>131</v>
      </c>
      <c r="J94" s="186"/>
    </row>
    <row r="95" spans="1:10">
      <c r="A95" s="208" t="b">
        <f t="shared" si="1"/>
        <v>1</v>
      </c>
      <c r="B95" s="179"/>
      <c r="C95" s="200"/>
      <c r="D95" s="189"/>
      <c r="E95" s="203"/>
      <c r="F95" s="189"/>
      <c r="G95" s="203"/>
      <c r="H95" s="190" t="str">
        <f ca="1">IF(C95="","",IF(I95="Naval",G95*OFFSET($R$6,MATCH(C95,$R$7:$R$39,0),MATCH(E95,$S$6:$AY$6,0))*0.000014*Importación!$N$2,G95*OFFSET($R$6,MATCH(C95,$R$7:$R$39,0),MATCH(E95,$S$6:$AY$6,0))*0.00004*Importación!$N$2))</f>
        <v/>
      </c>
      <c r="I95" s="206" t="s">
        <v>131</v>
      </c>
      <c r="J95" s="186"/>
    </row>
    <row r="96" spans="1:10">
      <c r="A96" s="208" t="b">
        <f t="shared" si="1"/>
        <v>1</v>
      </c>
      <c r="B96" s="179"/>
      <c r="C96" s="200"/>
      <c r="D96" s="189"/>
      <c r="E96" s="203"/>
      <c r="F96" s="189"/>
      <c r="G96" s="203"/>
      <c r="H96" s="190" t="str">
        <f ca="1">IF(C96="","",IF(I96="Naval",G96*OFFSET($R$6,MATCH(C96,$R$7:$R$39,0),MATCH(E96,$S$6:$AY$6,0))*0.000014*Importación!$N$2,G96*OFFSET($R$6,MATCH(C96,$R$7:$R$39,0),MATCH(E96,$S$6:$AY$6,0))*0.00004*Importación!$N$2))</f>
        <v/>
      </c>
      <c r="I96" s="206" t="s">
        <v>131</v>
      </c>
      <c r="J96" s="186"/>
    </row>
    <row r="97" spans="1:10">
      <c r="A97" s="208" t="b">
        <f t="shared" si="1"/>
        <v>1</v>
      </c>
      <c r="B97" s="179"/>
      <c r="C97" s="200"/>
      <c r="D97" s="189"/>
      <c r="E97" s="203"/>
      <c r="F97" s="189"/>
      <c r="G97" s="203"/>
      <c r="H97" s="190" t="str">
        <f ca="1">IF(C97="","",IF(I97="Naval",G97*OFFSET($R$6,MATCH(C97,$R$7:$R$39,0),MATCH(E97,$S$6:$AY$6,0))*0.000014*Importación!$N$2,G97*OFFSET($R$6,MATCH(C97,$R$7:$R$39,0),MATCH(E97,$S$6:$AY$6,0))*0.00004*Importación!$N$2))</f>
        <v/>
      </c>
      <c r="I97" s="206" t="s">
        <v>131</v>
      </c>
      <c r="J97" s="186"/>
    </row>
    <row r="98" spans="1:10">
      <c r="A98" s="208" t="b">
        <f t="shared" si="1"/>
        <v>1</v>
      </c>
      <c r="B98" s="179"/>
      <c r="C98" s="200"/>
      <c r="D98" s="189"/>
      <c r="E98" s="203"/>
      <c r="F98" s="189"/>
      <c r="G98" s="203"/>
      <c r="H98" s="190" t="str">
        <f ca="1">IF(C98="","",IF(I98="Naval",G98*OFFSET($R$6,MATCH(C98,$R$7:$R$39,0),MATCH(E98,$S$6:$AY$6,0))*0.000014*Importación!$N$2,G98*OFFSET($R$6,MATCH(C98,$R$7:$R$39,0),MATCH(E98,$S$6:$AY$6,0))*0.00004*Importación!$N$2))</f>
        <v/>
      </c>
      <c r="I98" s="206" t="s">
        <v>131</v>
      </c>
      <c r="J98" s="186"/>
    </row>
    <row r="99" spans="1:10">
      <c r="A99" s="208" t="b">
        <f t="shared" si="1"/>
        <v>1</v>
      </c>
      <c r="B99" s="179"/>
      <c r="C99" s="200"/>
      <c r="D99" s="189"/>
      <c r="E99" s="203"/>
      <c r="F99" s="189"/>
      <c r="G99" s="203"/>
      <c r="H99" s="190" t="str">
        <f ca="1">IF(C99="","",IF(I99="Naval",G99*OFFSET($R$6,MATCH(C99,$R$7:$R$39,0),MATCH(E99,$S$6:$AY$6,0))*0.000014*Importación!$N$2,G99*OFFSET($R$6,MATCH(C99,$R$7:$R$39,0),MATCH(E99,$S$6:$AY$6,0))*0.00004*Importación!$N$2))</f>
        <v/>
      </c>
      <c r="I99" s="206" t="s">
        <v>131</v>
      </c>
      <c r="J99" s="186"/>
    </row>
    <row r="100" spans="1:10">
      <c r="A100" s="208" t="b">
        <f t="shared" si="1"/>
        <v>1</v>
      </c>
      <c r="B100" s="179"/>
      <c r="C100" s="200"/>
      <c r="D100" s="189"/>
      <c r="E100" s="203"/>
      <c r="F100" s="189"/>
      <c r="G100" s="203"/>
      <c r="H100" s="190" t="str">
        <f ca="1">IF(C100="","",IF(I100="Naval",G100*OFFSET($R$6,MATCH(C100,$R$7:$R$39,0),MATCH(E100,$S$6:$AY$6,0))*0.000014*Importación!$N$2,G100*OFFSET($R$6,MATCH(C100,$R$7:$R$39,0),MATCH(E100,$S$6:$AY$6,0))*0.00004*Importación!$N$2))</f>
        <v/>
      </c>
      <c r="I100" s="206" t="s">
        <v>131</v>
      </c>
      <c r="J100" s="186"/>
    </row>
    <row r="101" spans="1:10" ht="13.5" thickBot="1">
      <c r="A101" s="208" t="b">
        <f t="shared" si="1"/>
        <v>1</v>
      </c>
      <c r="B101" s="179"/>
      <c r="C101" s="201"/>
      <c r="D101" s="196"/>
      <c r="E101" s="204"/>
      <c r="F101" s="196"/>
      <c r="G101" s="204"/>
      <c r="H101" s="197" t="str">
        <f ca="1">IF(C101="","",IF(I101="Naval",G101*OFFSET($R$6,MATCH(C101,$R$7:$R$39,0),MATCH(E101,$S$6:$AY$6,0))*0.000014*Importación!$N$2,G101*OFFSET($R$6,MATCH(C101,$R$7:$R$39,0),MATCH(E101,$S$6:$AY$6,0))*0.00004*Importación!$N$2))</f>
        <v/>
      </c>
      <c r="I101" s="207" t="s">
        <v>131</v>
      </c>
      <c r="J101" s="186"/>
    </row>
    <row r="102" spans="1:10" ht="14.25" thickTop="1" thickBot="1">
      <c r="B102" s="193"/>
      <c r="C102" s="198"/>
      <c r="D102" s="198"/>
      <c r="E102" s="198"/>
      <c r="F102" s="198"/>
      <c r="G102" s="198"/>
      <c r="H102" s="194"/>
      <c r="I102" s="198"/>
      <c r="J102" s="195"/>
    </row>
  </sheetData>
  <sheetProtection password="CC15" sheet="1" selectLockedCells="1"/>
  <mergeCells count="2">
    <mergeCell ref="M5:N5"/>
    <mergeCell ref="M14:N14"/>
  </mergeCells>
  <dataValidations count="4">
    <dataValidation type="list" allowBlank="1" showInputMessage="1" showErrorMessage="1" prompt="Medio_x000a_ de transporte" sqref="I6:I101">
      <formula1>$I$1:$I$2</formula1>
    </dataValidation>
    <dataValidation type="list" allowBlank="1" showInputMessage="1" showErrorMessage="1" sqref="C6:C101">
      <formula1>$R$7:$R$39</formula1>
    </dataValidation>
    <dataValidation type="list" allowBlank="1" showInputMessage="1" showErrorMessage="1" sqref="E6:E101">
      <formula1>$S$6:$AY$6</formula1>
    </dataValidation>
    <dataValidation type="list" allowBlank="1" showInputMessage="1" showErrorMessage="1" sqref="M18">
      <formula1>$I$1:$I$2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Sumario</vt:lpstr>
      <vt:lpstr>Importación</vt:lpstr>
      <vt:lpstr>Exportación</vt:lpstr>
      <vt:lpstr>Industria</vt:lpstr>
      <vt:lpstr>Militar</vt:lpstr>
      <vt:lpstr>Investigación</vt:lpstr>
      <vt:lpstr>Inversiones</vt:lpstr>
      <vt:lpstr>Instalaciones Militares</vt:lpstr>
      <vt:lpstr>Transporte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2010-07-23T16:37:14Z</dcterms:created>
  <dcterms:modified xsi:type="dcterms:W3CDTF">2012-09-07T16:31:41Z</dcterms:modified>
</cp:coreProperties>
</file>