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D6" i="10"/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T18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 s="1"/>
  <c r="L16"/>
  <c r="M15"/>
  <c r="P15" s="1"/>
  <c r="L15"/>
  <c r="M14"/>
  <c r="O14"/>
  <c r="L14"/>
  <c r="M13"/>
  <c r="P13" s="1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9" s="1"/>
  <c r="E16" i="17"/>
  <c r="F16"/>
  <c r="E17"/>
  <c r="F17"/>
  <c r="E18"/>
  <c r="F18"/>
  <c r="E19"/>
  <c r="F19"/>
  <c r="E20"/>
  <c r="F20"/>
  <c r="D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O11" s="1"/>
  <c r="S11"/>
  <c r="L17"/>
  <c r="M17"/>
  <c r="N17" s="1"/>
  <c r="S12"/>
  <c r="L18"/>
  <c r="M18"/>
  <c r="N18" s="1"/>
  <c r="S13"/>
  <c r="L19"/>
  <c r="M19"/>
  <c r="N19" s="1"/>
  <c r="S14"/>
  <c r="L20"/>
  <c r="M20"/>
  <c r="N20" s="1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E19" s="1"/>
  <c r="F16"/>
  <c r="H38"/>
  <c r="H16"/>
  <c r="M26"/>
  <c r="N26"/>
  <c r="O26"/>
  <c r="P26"/>
  <c r="R26"/>
  <c r="S26"/>
  <c r="E17"/>
  <c r="F17"/>
  <c r="H39"/>
  <c r="H17"/>
  <c r="E18"/>
  <c r="F18"/>
  <c r="G18"/>
  <c r="H18"/>
  <c r="D19"/>
  <c r="T31"/>
  <c r="T32"/>
  <c r="T33"/>
  <c r="T34"/>
  <c r="T35"/>
  <c r="T36"/>
  <c r="T47"/>
  <c r="T48"/>
  <c r="E29"/>
  <c r="E33" s="1"/>
  <c r="F29"/>
  <c r="G29"/>
  <c r="G33" s="1"/>
  <c r="T49"/>
  <c r="E30"/>
  <c r="F30"/>
  <c r="G30"/>
  <c r="T50"/>
  <c r="E31"/>
  <c r="F31"/>
  <c r="G31"/>
  <c r="E32"/>
  <c r="F32"/>
  <c r="G32"/>
  <c r="D33"/>
  <c r="E36"/>
  <c r="F36"/>
  <c r="G36"/>
  <c r="E37"/>
  <c r="F37"/>
  <c r="G37"/>
  <c r="E38"/>
  <c r="F38"/>
  <c r="G38"/>
  <c r="G41" s="1"/>
  <c r="E39"/>
  <c r="F39"/>
  <c r="G39"/>
  <c r="E40"/>
  <c r="F40"/>
  <c r="G40"/>
  <c r="H40"/>
  <c r="D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P19" i="16"/>
  <c r="P17"/>
  <c r="N12"/>
  <c r="P14"/>
  <c r="P16"/>
  <c r="F33" i="14"/>
  <c r="H19"/>
  <c r="E62" s="1"/>
  <c r="E63" s="1"/>
  <c r="H18" i="13"/>
  <c r="F11" i="17"/>
  <c r="O19" i="16"/>
  <c r="O17"/>
  <c r="O13"/>
  <c r="N13"/>
  <c r="O15"/>
  <c r="N15"/>
  <c r="N16"/>
  <c r="N14"/>
  <c r="H31" i="14"/>
  <c r="H30"/>
  <c r="H32"/>
  <c r="L33" i="16"/>
  <c r="L36"/>
  <c r="L34"/>
  <c r="L37"/>
  <c r="L35"/>
  <c r="O20" l="1"/>
  <c r="O18"/>
  <c r="P18"/>
  <c r="P20"/>
  <c r="T51" i="14"/>
  <c r="F41"/>
  <c r="I10" i="13" s="1"/>
  <c r="T26" i="14"/>
  <c r="P12" i="16"/>
  <c r="F21" i="17"/>
  <c r="D18" i="10" s="1"/>
  <c r="P11" i="16"/>
  <c r="E21" i="17"/>
  <c r="J10" i="13" s="1"/>
  <c r="E41" i="14"/>
  <c r="E10" i="13" s="1"/>
  <c r="D21" i="12"/>
  <c r="I7" i="10" s="1"/>
  <c r="L6" s="1"/>
  <c r="N11" i="16"/>
  <c r="H33" i="14"/>
  <c r="F61" s="1"/>
  <c r="L42" i="16"/>
  <c r="P10"/>
  <c r="O10"/>
  <c r="F35" i="15"/>
  <c r="O8" i="16"/>
  <c r="P8"/>
  <c r="P9"/>
  <c r="O9"/>
  <c r="O6"/>
  <c r="O7"/>
  <c r="N7"/>
  <c r="H41" i="14"/>
  <c r="K18" i="13"/>
  <c r="F16" i="15"/>
  <c r="F18" i="13"/>
  <c r="L21" i="16"/>
  <c r="P6"/>
  <c r="G18" i="13"/>
  <c r="L18"/>
  <c r="D21" i="11"/>
  <c r="I6" i="10" s="1"/>
  <c r="N7" i="18"/>
  <c r="N11" i="13" s="1"/>
  <c r="L51" i="16" l="1"/>
  <c r="D19" i="10" s="1"/>
  <c r="I9"/>
  <c r="N21" i="16"/>
  <c r="M51" s="1"/>
  <c r="E9" i="13" s="1"/>
  <c r="E18" s="1"/>
  <c r="D13" i="10"/>
  <c r="P21" i="16"/>
  <c r="O51" s="1"/>
  <c r="J9" i="13" s="1"/>
  <c r="J18" s="1"/>
  <c r="D17" i="10"/>
  <c r="O21" i="16"/>
  <c r="N51" s="1"/>
  <c r="I9" i="13" s="1"/>
  <c r="I18" s="1"/>
  <c r="D14" i="10"/>
  <c r="F62" i="14"/>
  <c r="F63" s="1"/>
  <c r="D15" i="10"/>
  <c r="C21" i="13" l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<sst xmlns="http://schemas.openxmlformats.org/spreadsheetml/2006/main" count="988" uniqueCount="274">
  <si>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</si>
  <si>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</si>
  <si>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</si>
  <si>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</si>
  <si>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</si>
  <si>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</si>
  <si>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</si>
  <si>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</si>
  <si>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</si>
  <si>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</si>
  <si>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</si>
  <si>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</si>
  <si>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</si>
  <si>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</si>
  <si>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</si>
  <si>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</si>
  <si>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</si>
  <si>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</si>
  <si>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</si>
  <si>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</si>
  <si>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</si>
  <si>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</si>
  <si>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</si>
  <si>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</si>
  <si>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</si>
  <si>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</si>
  <si>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</si>
  <si>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</si>
  <si>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</si>
  <si>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</si>
  <si>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</si>
  <si>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</si>
  <si>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</si>
  <si>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</si>
  <si>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</si>
  <si>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</si>
  <si>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</si>
  <si>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</si>
  <si>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</si>
  <si>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</si>
  <si>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</si>
  <si>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</si>
  <si>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</si>
  <si>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</si>
  <si>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</si>
  <si>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</si>
  <si>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</si>
  <si>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</si>
  <si>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</si>
  <si>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</si>
  <si>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</si>
  <si>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</si>
  <si>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</si>
  <si>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</si>
  <si>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</si>
  <si>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</si>
  <si>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</si>
  <si>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</si>
  <si>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</si>
  <si>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</si>
  <si>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</si>
  <si>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</si>
  <si>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</si>
  <si>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</si>
  <si>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</si>
  <si>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</si>
  <si>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</si>
  <si>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</si>
  <si>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</si>
  <si>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</si>
  <si>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</si>
  <si>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</si>
  <si>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</si>
  <si>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</si>
  <si>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</si>
  <si>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</si>
  <si>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</si>
  <si>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</si>
  <si>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</si>
  <si>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</si>
  <si>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</si>
  <si>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</si>
  <si>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</si>
  <si>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</si>
  <si>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</si>
  <si>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</si>
  <si>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</si>
  <si>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</si>
  <si>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</si>
  <si>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</si>
  <si>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</si>
  <si>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</si>
  <si>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</si>
  <si>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</si>
  <si>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</si>
  <si>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</si>
  <si>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</si>
  <si>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</si>
  <si>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</si>
  <si>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</si>
  <si>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</si>
  <si>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</si>
  <si>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</si>
  <si>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</si>
  <si>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</si>
  <si>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</si>
  <si>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</si>
  <si>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</si>
  <si>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</si>
  <si>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</si>
  <si>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</si>
  <si>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</si>
  <si>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</si>
  <si>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</si>
  <si>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</si>
  <si>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</si>
  <si>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</si>
  <si>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</si>
  <si>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</si>
  <si>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</si>
  <si>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</si>
  <si>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</si>
  <si>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</si>
  <si>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</si>
  <si>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</si>
  <si>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</si>
  <si>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</si>
  <si>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</si>
  <si>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</si>
  <si>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</si>
  <si>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</si>
  <si>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</si>
  <si>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</si>
  <si>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</si>
  <si>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</si>
  <si>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</si>
  <si>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</si>
  <si>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</si>
  <si>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</si>
  <si>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</si>
  <si>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</si>
  <si>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</si>
  <si>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</si>
  <si>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</si>
  <si>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</si>
  <si>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</si>
  <si>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</si>
  <si>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</si>
  <si>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</si>
  <si>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</si>
  <si>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</si>
  <si>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</si>
  <si>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</si>
  <si>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</si>
  <si>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</si>
  <si>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</si>
  <si>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</si>
  <si>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</si>
  <si>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</si>
  <si>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</si>
  <si>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</si>
  <si>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</si>
  <si>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</si>
  <si>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</si>
  <si>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</si>
  <si>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</si>
  <si>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</si>
  <si>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</si>
  <si>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</si>
  <si>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</si>
  <si>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</si>
  <si>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</si>
  <si>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</si>
  <si>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</si>
  <si>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</si>
  <si>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</si>
  <si>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</si>
  <si>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</si>
  <si>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</si>
  <si>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</si>
  <si>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</si>
  <si>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</si>
  <si>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</si>
  <si>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</si>
  <si>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</si>
  <si>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</si>
  <si>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</si>
  <si>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</si>
  <si>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</si>
  <si>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</si>
  <si>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</si>
  <si>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</si>
  <si>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</si>
  <si>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</si>
  <si>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</si>
  <si>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</si>
  <si>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</si>
  <si>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</si>
  <si>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</si>
  <si>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</si>
  <si>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</si>
  <si>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</si>
  <si>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</si>
  <si>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</si>
  <si>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</si>
  <si>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</si>
  <si>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</si>
  <si>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</si>
  <si>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</si>
  <si>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</si>
  <si>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</si>
  <si>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</si>
  <si>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</si>
  <si>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</si>
  <si>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</si>
  <si>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</si>
  <si>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</si>
  <si>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</si>
  <si>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</si>
  <si>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</si>
  <si>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</si>
  <si>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</si>
  <si>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</si>
  <si>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</si>
  <si>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</si>
  <si>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</si>
  <si>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</si>
  <si>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</si>
  <si>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</si>
  <si>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</si>
  <si>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</si>
  <si>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</si>
  <si>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</si>
  <si>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</si>
  <si>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</si>
  <si>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</si>
  <si>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</si>
  <si>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</si>
  <si>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</si>
  <si>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</si>
  <si>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</si>
  <si>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</si>
  <si>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</si>
  <si>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</si>
  <si>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</si>
  <si>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</si>
  <si>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</si>
  <si>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</si>
  <si>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</si>
  <si>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</si>
  <si>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</si>
  <si>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</si>
  <si>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</si>
  <si>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</si>
  <si>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</si>
  <si>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</si>
  <si>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</si>
  <si>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</si>
  <si>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</si>
  <si>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</si>
  <si>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</si>
  <si>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</si>
  <si>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</si>
  <si>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</si>
  <si>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</si>
  <si>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</si>
  <si>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</si>
  <si>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</si>
  <si>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</si>
  <si>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</si>
  <si>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</si>
  <si>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Carbón / Nacional</t>
  </si>
  <si>
    <t>Comida / Nacional</t>
  </si>
  <si>
    <t>Industria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</si>
</sst>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4" fillId="0" borderId="0" xfId="0" applyFont="1" applyBorder="1" applyAlignment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9" xfId="0" applyFill="1" applyBorder="1" applyAlignment="1" applyProtection="1">
      <protection locked="0"/>
    </xf>
    <xf numFmtId="0" fontId="0" fillId="0" borderId="99" xfId="0" applyBorder="1" applyAlignment="1" applyProtection="1">
      <protection hidden="1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276">
        <v>68654187.025529742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59399187.025529742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41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((VLOOKUP(J4,N4:R10,5,0)*D4/1000)*1.02)+D5+D8</f>
        <v>914.92680534154442</v>
      </c>
      <c r="E6" s="53"/>
      <c r="G6" s="48"/>
      <c r="H6" s="12" t="s">
        <v>20</v>
      </c>
      <c r="I6" s="13">
        <f>Importación!D21</f>
        <v>24</v>
      </c>
      <c r="J6" s="49"/>
      <c r="K6" s="12" t="s">
        <v>29</v>
      </c>
      <c r="L6" s="13">
        <f>D9+I7</f>
        <v>1010.9268053415444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48</v>
      </c>
      <c r="J7" s="49"/>
      <c r="K7" s="16" t="s">
        <v>30</v>
      </c>
      <c r="L7" s="17">
        <f ca="1">D22+I6</f>
        <v>421.05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962.92680534154442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589.87680534154447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99.8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215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397.05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7" sqref="S7:S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3</v>
      </c>
      <c r="T18" s="8">
        <f>SUM(S5:S14)*T2+(S16*T2)*4/5+(S15*T2)*6/5+SUM(T5:T16)</f>
        <v>24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Y8" sqref="Y8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2</v>
      </c>
      <c r="W18" s="135">
        <f>SUM(V5:V14)*W2+(V16*W2)*6/5+(V15*W2)*4/5+SUM(W5:W16)</f>
        <v>48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48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1.955697</v>
      </c>
      <c r="G5" s="229">
        <v>0</v>
      </c>
      <c r="H5" s="229">
        <v>0</v>
      </c>
      <c r="I5" s="229">
        <v>4.625</v>
      </c>
      <c r="J5" s="229">
        <v>0.625</v>
      </c>
      <c r="K5" s="229">
        <v>7.4308860000000001</v>
      </c>
      <c r="L5" s="230">
        <v>1.035075</v>
      </c>
      <c r="M5" s="53"/>
      <c r="N5" s="226"/>
    </row>
    <row r="6" spans="1:14">
      <c r="A6" s="226"/>
      <c r="B6" s="48"/>
      <c r="C6" s="55" t="s">
        <v>51</v>
      </c>
      <c r="D6" s="49"/>
      <c r="E6" s="231">
        <v>34</v>
      </c>
      <c r="F6" s="232">
        <v>34</v>
      </c>
      <c r="G6" s="232">
        <v>6</v>
      </c>
      <c r="H6" s="232">
        <v>1</v>
      </c>
      <c r="I6" s="232">
        <v>13</v>
      </c>
      <c r="J6" s="232">
        <v>14</v>
      </c>
      <c r="K6" s="232">
        <v>3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3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2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34.327093512764868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13.73083740510595</v>
      </c>
      <c r="L9" s="233">
        <f>VLOOKUP(Sumario!J4,Sumario!N4:R10,2,0)*Sumario!D3/1000</f>
        <v>15.256486005673276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34</v>
      </c>
      <c r="F18" s="250">
        <f>ROUND(F5+F6+F7-F8-F9-F10-F11-F12-F13-F15-F16,6)</f>
        <v>1.628603</v>
      </c>
      <c r="G18" s="250">
        <f>ROUND(G5+G6+G7-G8-G9-G10-G12-G13-G15-G16,6)</f>
        <v>6</v>
      </c>
      <c r="H18" s="250">
        <f>ROUND(H5+H6+H7-H8-H11-H14-H16,6)</f>
        <v>1</v>
      </c>
      <c r="I18" s="250">
        <f>ROUND(I5+I6+I7-I8-I9-I10-I11-I12-I13-I15-I16,6)</f>
        <v>17.625</v>
      </c>
      <c r="J18" s="250">
        <f>ROUND(J5+J6+J7-J8-J9-J10-J12-J13-J15-J16,6)</f>
        <v>14.625</v>
      </c>
      <c r="K18" s="250">
        <f>ROUND(K5+K6+K7-K8-K9-K10-K12-K13+K15-K16,6)</f>
        <v>-0.29995100000000002</v>
      </c>
      <c r="L18" s="251">
        <f>ROUND(L5+L6+L7-L8-L9-L10+L12+L13-L16,6)</f>
        <v>-16.221411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P18" sqref="P18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77" t="s">
        <v>126</v>
      </c>
      <c r="Y2" s="277"/>
      <c r="Z2" s="63">
        <v>10</v>
      </c>
      <c r="AA2" s="14"/>
      <c r="AB2" s="14"/>
      <c r="AC2" s="14"/>
      <c r="AD2" s="14"/>
    </row>
    <row r="3" spans="2:30">
      <c r="B3" s="48"/>
      <c r="C3" s="278" t="s">
        <v>88</v>
      </c>
      <c r="D3" s="278"/>
      <c r="E3" s="278"/>
      <c r="F3" s="278"/>
      <c r="G3" s="278"/>
      <c r="H3" s="284"/>
      <c r="I3" s="53"/>
      <c r="K3" s="48"/>
      <c r="L3" s="49"/>
      <c r="M3" s="278" t="s">
        <v>115</v>
      </c>
      <c r="N3" s="278"/>
      <c r="O3" s="278"/>
      <c r="P3" s="278"/>
      <c r="Q3" s="278"/>
      <c r="R3" s="278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1" t="s">
        <v>78</v>
      </c>
      <c r="D5" s="282"/>
      <c r="E5" s="282"/>
      <c r="F5" s="282"/>
      <c r="G5" s="282"/>
      <c r="H5" s="283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B</v>
      </c>
      <c r="G7" s="75" t="s">
        <v>3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79" t="s">
        <v>86</v>
      </c>
      <c r="D12" s="278"/>
      <c r="E12" s="278"/>
      <c r="F12" s="278"/>
      <c r="G12" s="278"/>
      <c r="H12" s="280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58</v>
      </c>
      <c r="E15" s="74">
        <f>D15*500</f>
        <v>29000</v>
      </c>
      <c r="F15" s="74" t="str">
        <f>Investigación!E11</f>
        <v>D</v>
      </c>
      <c r="G15" s="75" t="s">
        <v>3</v>
      </c>
      <c r="H15" s="76">
        <f>0.5*D15</f>
        <v>29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135</v>
      </c>
      <c r="E16" s="74">
        <f>D16*200</f>
        <v>27000</v>
      </c>
      <c r="F16" s="74" t="str">
        <f>Investigación!E12</f>
        <v>D</v>
      </c>
      <c r="G16" s="75" t="s">
        <v>3</v>
      </c>
      <c r="H16" s="76">
        <f>0.2*D16</f>
        <v>27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227</v>
      </c>
      <c r="E19" s="84">
        <f>SUM(E14:E18)</f>
        <v>86400</v>
      </c>
      <c r="F19" s="9"/>
      <c r="G19" s="9"/>
      <c r="H19" s="85">
        <f>SUM(H14:H18)</f>
        <v>77.8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8" t="s">
        <v>117</v>
      </c>
      <c r="D25" s="278"/>
      <c r="E25" s="278"/>
      <c r="F25" s="278"/>
      <c r="G25" s="278"/>
      <c r="H25" s="284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1" t="s">
        <v>78</v>
      </c>
      <c r="D27" s="282"/>
      <c r="E27" s="282"/>
      <c r="F27" s="282"/>
      <c r="G27" s="282"/>
      <c r="H27" s="283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8" t="s">
        <v>102</v>
      </c>
      <c r="N28" s="278"/>
      <c r="O28" s="278"/>
      <c r="P28" s="278"/>
      <c r="Q28" s="278"/>
      <c r="R28" s="278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79" t="s">
        <v>86</v>
      </c>
      <c r="D34" s="278"/>
      <c r="E34" s="278"/>
      <c r="F34" s="278"/>
      <c r="G34" s="278"/>
      <c r="H34" s="280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2</v>
      </c>
      <c r="O35" s="99">
        <v>7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>
        <v>2</v>
      </c>
      <c r="O36" s="99">
        <v>7</v>
      </c>
      <c r="P36" s="99"/>
      <c r="Q36" s="99"/>
      <c r="R36" s="99" t="s">
        <v>199</v>
      </c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85" t="s">
        <v>127</v>
      </c>
      <c r="E47" s="285"/>
      <c r="F47" s="285"/>
      <c r="G47" s="285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>
        <v>5</v>
      </c>
      <c r="F50" s="74">
        <v>1903</v>
      </c>
      <c r="G50" s="76">
        <v>1907</v>
      </c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85" t="s">
        <v>133</v>
      </c>
      <c r="E58" s="285"/>
      <c r="F58" s="285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77.8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118.05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D47:G47"/>
    <mergeCell ref="D58:F58"/>
    <mergeCell ref="C25:H25"/>
    <mergeCell ref="C27:H27"/>
    <mergeCell ref="C34:H34"/>
    <mergeCell ref="X2:Y2"/>
    <mergeCell ref="M28:R28"/>
    <mergeCell ref="M3:R3"/>
    <mergeCell ref="C12:H12"/>
    <mergeCell ref="C5:H5"/>
    <mergeCell ref="C3:H3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workbookViewId="0">
      <selection activeCell="D24" sqref="D24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8" t="s">
        <v>139</v>
      </c>
      <c r="D3" s="278"/>
      <c r="E3" s="278"/>
      <c r="F3" s="278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121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8" t="s">
        <v>141</v>
      </c>
      <c r="D21" s="278"/>
      <c r="E21" s="278"/>
      <c r="F21" s="278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138</v>
      </c>
      <c r="E24" s="115" t="s">
        <v>255</v>
      </c>
      <c r="F24" s="272">
        <f>IF(D24="SI",HLOOKUP(E24,$L$8:$N$9,2,0),IF(D25="Mantener",5,0))</f>
        <v>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138</v>
      </c>
      <c r="E26" s="74" t="s">
        <v>3</v>
      </c>
      <c r="F26" s="76">
        <f t="shared" ref="F26:F33" si="0">IF(D26="SI",HLOOKUP(E26,$M$6:$Q$10,2,0),IF(D26="Mantener",5,0))</f>
        <v>0</v>
      </c>
      <c r="G26" s="53"/>
    </row>
    <row r="27" spans="2:20">
      <c r="B27" s="48"/>
      <c r="C27" s="73" t="s">
        <v>125</v>
      </c>
      <c r="D27" s="99" t="s">
        <v>138</v>
      </c>
      <c r="E27" s="74" t="s">
        <v>121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138</v>
      </c>
      <c r="E28" s="74" t="s">
        <v>2</v>
      </c>
      <c r="F28" s="76">
        <f t="shared" si="0"/>
        <v>0</v>
      </c>
      <c r="G28" s="53"/>
    </row>
    <row r="29" spans="2:20">
      <c r="B29" s="48"/>
      <c r="C29" s="73" t="s">
        <v>81</v>
      </c>
      <c r="D29" s="99" t="s">
        <v>138</v>
      </c>
      <c r="E29" s="74" t="s">
        <v>120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122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7" sqref="J7:K7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8" t="s">
        <v>159</v>
      </c>
      <c r="D3" s="278"/>
      <c r="E3" s="278"/>
      <c r="F3" s="278"/>
      <c r="G3" s="53"/>
      <c r="H3" s="49"/>
      <c r="I3" s="48"/>
      <c r="J3" s="49"/>
      <c r="K3" s="278" t="s">
        <v>160</v>
      </c>
      <c r="L3" s="278"/>
      <c r="M3" s="278"/>
      <c r="N3" s="278"/>
      <c r="O3" s="278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8" t="s">
        <v>155</v>
      </c>
      <c r="K5" s="289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86" t="s">
        <v>169</v>
      </c>
      <c r="K6" s="287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86" t="s">
        <v>169</v>
      </c>
      <c r="K7" s="287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86" t="s">
        <v>169</v>
      </c>
      <c r="K8" s="287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86" t="s">
        <v>169</v>
      </c>
      <c r="K9" s="287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86" t="s">
        <v>169</v>
      </c>
      <c r="K10" s="287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86" t="s">
        <v>169</v>
      </c>
      <c r="K11" s="287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86" t="s">
        <v>169</v>
      </c>
      <c r="K12" s="287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86" t="s">
        <v>169</v>
      </c>
      <c r="K13" s="287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86" t="s">
        <v>169</v>
      </c>
      <c r="K14" s="287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86" t="s">
        <v>169</v>
      </c>
      <c r="K15" s="287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86" t="s">
        <v>169</v>
      </c>
      <c r="K16" s="287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86" t="s">
        <v>169</v>
      </c>
      <c r="K17" s="287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86" t="s">
        <v>169</v>
      </c>
      <c r="K18" s="287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86" t="s">
        <v>169</v>
      </c>
      <c r="K19" s="287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2" t="s">
        <v>169</v>
      </c>
      <c r="K20" s="287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8" t="s">
        <v>163</v>
      </c>
      <c r="L29" s="278"/>
      <c r="M29" s="278"/>
      <c r="N29" s="278"/>
      <c r="O29" s="278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8" t="s">
        <v>155</v>
      </c>
      <c r="K31" s="289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90" t="s">
        <v>271</v>
      </c>
      <c r="K32" s="291"/>
      <c r="L32" s="117">
        <f>VLOOKUP(J32,$S$5:$U$49,2,0)</f>
        <v>50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90" t="s">
        <v>273</v>
      </c>
      <c r="K33" s="291"/>
      <c r="L33" s="117">
        <f t="shared" ref="L33:L41" si="6">VLOOKUP(J33,$S$5:$U$49,2,0)</f>
        <v>65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90" t="s">
        <v>271</v>
      </c>
      <c r="K34" s="291"/>
      <c r="L34" s="117">
        <f t="shared" si="6"/>
        <v>50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90" t="s">
        <v>272</v>
      </c>
      <c r="K35" s="291"/>
      <c r="L35" s="117">
        <f t="shared" si="6"/>
        <v>50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90" t="s">
        <v>169</v>
      </c>
      <c r="K36" s="291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90" t="s">
        <v>169</v>
      </c>
      <c r="K37" s="291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90" t="s">
        <v>169</v>
      </c>
      <c r="K38" s="291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90" t="s">
        <v>169</v>
      </c>
      <c r="K39" s="291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90" t="s">
        <v>169</v>
      </c>
      <c r="K40" s="291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93" t="s">
        <v>169</v>
      </c>
      <c r="K41" s="291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65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215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65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8" t="s">
        <v>165</v>
      </c>
      <c r="L48" s="278"/>
      <c r="M48" s="278"/>
      <c r="N48" s="278"/>
      <c r="O48" s="278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215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4" t="s">
        <v>180</v>
      </c>
      <c r="D4" s="295"/>
      <c r="E4" s="295"/>
      <c r="F4" s="296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12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22</v>
      </c>
      <c r="E10" s="151">
        <v>0</v>
      </c>
      <c r="F10" s="152">
        <f>D10</f>
        <v>22</v>
      </c>
      <c r="G10" s="166"/>
    </row>
    <row r="11" spans="2:7" ht="13.5" thickBot="1">
      <c r="B11" s="165"/>
      <c r="C11" s="153" t="s">
        <v>1</v>
      </c>
      <c r="D11" s="154">
        <f>SUM(D6:D10)</f>
        <v>48</v>
      </c>
      <c r="E11" s="155">
        <f>SUM(E6:E10)</f>
        <v>49000</v>
      </c>
      <c r="F11" s="156">
        <f>SUM(F6:F10)</f>
        <v>64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4" t="s">
        <v>181</v>
      </c>
      <c r="D14" s="297"/>
      <c r="E14" s="297"/>
      <c r="F14" s="297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objects="1" scenarios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C6" sqref="C6:C16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8" t="s">
        <v>222</v>
      </c>
      <c r="N5" s="299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300"/>
      <c r="N14" s="300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2012-04-26T16:24:02Z</dcterms:modified>
</cp:coreProperties>
</file>